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drawings/drawing1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44159D0E-A6F7-41E3-B39D-B95CF727D164}" xr6:coauthVersionLast="47" xr6:coauthVersionMax="47" xr10:uidLastSave="{00000000-0000-0000-0000-000000000000}"/>
  <workbookProtection workbookAlgorithmName="SHA-512" workbookHashValue="Rfn3VdKig72MoZGMlRhstK/6zb9ebo34YmBS0CMmHZHlM2iaYbt282ByeCSCSqzAJwdvHzNUw9+j/yuxR1YCLg==" workbookSaltValue="q+B+W17Ng/RuhtjD1CnUew==" workbookSpinCount="100000" lockStructure="1"/>
  <bookViews>
    <workbookView xWindow="-120" yWindow="-120" windowWidth="20730" windowHeight="11160" tabRatio="858" xr2:uid="{FCDF052A-6EA1-4EDF-B014-7EFC6CC5F9DC}"/>
  </bookViews>
  <sheets>
    <sheet name="Instructions. " sheetId="16" r:id="rId1"/>
    <sheet name="Step 1 - Payroll" sheetId="31" r:id="rId2"/>
    <sheet name="Step 1A." sheetId="4" r:id="rId3"/>
    <sheet name="1B. " sheetId="30" r:id="rId4"/>
    <sheet name="Step 2." sheetId="38" r:id="rId5"/>
    <sheet name="Step 3." sheetId="42" r:id="rId6"/>
    <sheet name="Step 4." sheetId="39" r:id="rId7"/>
    <sheet name="Step 5." sheetId="40" r:id="rId8"/>
    <sheet name="Step 6." sheetId="41" r:id="rId9"/>
    <sheet name="Step 7." sheetId="20" r:id="rId10"/>
    <sheet name="Project Budget EURO" sheetId="19" r:id="rId11"/>
    <sheet name="Student Stipend - ILP" sheetId="43" state="hidden" r:id="rId12"/>
    <sheet name="Researcher Salary Scales. " sheetId="1" state="hidden" r:id="rId13"/>
    <sheet name="Step 1A - OLD" sheetId="28" state="hidden" r:id="rId14"/>
    <sheet name="1B. OLD" sheetId="29" state="hidden" r:id="rId15"/>
    <sheet name="Step 6 - Old" sheetId="35" state="hidden" r:id="rId16"/>
    <sheet name="Project Budget NON-EURO" sheetId="36" state="hidden" r:id="rId17"/>
    <sheet name="1B Salary scales -UCD Admin" sheetId="26" state="hidden" r:id="rId18"/>
    <sheet name="1B. Academic" sheetId="24" state="hidden" r:id="rId19"/>
    <sheet name="Student Stipend - OLD" sheetId="3" state="hidden" r:id="rId20"/>
    <sheet name="EFIN Reconciliation" sheetId="37" state="hidden" r:id="rId21"/>
    <sheet name="All job positions." sheetId="5" state="hidden" r:id="rId22"/>
    <sheet name="Depreciation" sheetId="14" state="hidden" r:id="rId23"/>
    <sheet name="Not in Use" sheetId="2" state="hidden" r:id="rId24"/>
  </sheets>
  <externalReferences>
    <externalReference r:id="rId25"/>
    <externalReference r:id="rId26"/>
    <externalReference r:id="rId27"/>
    <externalReference r:id="rId28"/>
    <externalReference r:id="rId29"/>
  </externalReferences>
  <definedNames>
    <definedName name="_95_ADMINISTRATIVE_OFFICER_IA_2013__2010" localSheetId="20">#REF!</definedName>
    <definedName name="_95_ADMINISTRATIVE_OFFICER_IA_2013__2010">#REF!</definedName>
    <definedName name="_95_ADMINISTRATIVE_OFFICER_II_2010" localSheetId="20">#REF!</definedName>
    <definedName name="_95_ADMINISTRATIVE_OFFICER_II_2010">#REF!</definedName>
    <definedName name="_95_Associate_Professor">#REF!</definedName>
    <definedName name="_95_Full_Professor">#REF!</definedName>
    <definedName name="_95_Lecturer_Asst_Prof_above_the_bar">#REF!</definedName>
    <definedName name="_95_Lecturer_Asst_Prof_below_the_bar">#REF!</definedName>
    <definedName name="_95_Professor">#REF!</definedName>
    <definedName name="_95_SENIOR_EXECUTIVE_ASSISTANT_2010">#REF!</definedName>
    <definedName name="Academic" localSheetId="17">'[1]1E - Monthly rate - All Posts'!$A$104:$A$171</definedName>
    <definedName name="ADMIN_OFFICER_I_2010" localSheetId="20">#REF!</definedName>
    <definedName name="ADMIN_OFFICER_I_2010">#REF!</definedName>
    <definedName name="Associate_Professor" localSheetId="20">#REF!</definedName>
    <definedName name="Associate_Professor">#REF!</definedName>
    <definedName name="ColRefGrade">#REF!</definedName>
    <definedName name="ColRefStaff">#REF!</definedName>
    <definedName name="Contract">'All job positions.'!$H$112</definedName>
    <definedName name="Contract_Research">'All job positions.'!$H$112</definedName>
    <definedName name="csDesignMode">1</definedName>
    <definedName name="Dep_Level">[2]Parameters!$B$12</definedName>
    <definedName name="Desk">'All job positions.'!$H$110</definedName>
    <definedName name="Desk_based_research">'All job positions.'!$H$110</definedName>
    <definedName name="Dissemintation_and_knowledge_exchange_costs" localSheetId="3">[1]!Table12[Select one]</definedName>
    <definedName name="Dissemintation_and_knowledge_exchange_costs" localSheetId="14">[1]!Table12[Select one]</definedName>
    <definedName name="Dissemintation_and_knowledge_exchange_costs" localSheetId="16">[1]!Table12[Select one]</definedName>
    <definedName name="Dissemintation_and_knowledge_exchange_costs" localSheetId="1">[1]!Table12[Select one]</definedName>
    <definedName name="Dissemintation_and_knowledge_exchange_costs" localSheetId="13">[1]!Table12[Select one]</definedName>
    <definedName name="Dissemintation_and_knowledge_exchange_costs" localSheetId="15">[1]!Table12[Select one]</definedName>
    <definedName name="Dissemintation_and_knowledge_exchange_costs">[1]!Table12[Select one]</definedName>
    <definedName name="EXECUTIVE_ASSISTANT_2010" localSheetId="20">#REF!</definedName>
    <definedName name="EXECUTIVE_ASSISTANT_2010">#REF!</definedName>
    <definedName name="Experienced_Post_Doc" localSheetId="20">#REF!</definedName>
    <definedName name="Experienced_Post_Doc">#REF!</definedName>
    <definedName name="Full_Professor" localSheetId="20">#REF!</definedName>
    <definedName name="Full_Professor">#REF!</definedName>
    <definedName name="Lab">'All job positions.'!$H$111</definedName>
    <definedName name="Lab_based_research">'All job positions.'!$H$111</definedName>
    <definedName name="Lecturer_Asst_Prof_above_the_bar" localSheetId="20">#REF!</definedName>
    <definedName name="Lecturer_Asst_Prof_above_the_bar">#REF!</definedName>
    <definedName name="Materials_and_Consumables" localSheetId="3">[1]!Table10[Select one: ]</definedName>
    <definedName name="Materials_and_Consumables" localSheetId="14">[1]!Table10[Select one: ]</definedName>
    <definedName name="Materials_and_Consumables" localSheetId="16">[1]!Table10[Select one: ]</definedName>
    <definedName name="Materials_and_Consumables" localSheetId="1">[1]!Table10[Select one: ]</definedName>
    <definedName name="Materials_and_Consumables" localSheetId="13">[1]!Table10[Select one: ]</definedName>
    <definedName name="Materials_and_Consumables" localSheetId="15">[1]!Table10[Select one: ]</definedName>
    <definedName name="Materials_and_Consumables">[1]!Table10[Select one: ]</definedName>
    <definedName name="New_Post_Doc" localSheetId="20">#REF!</definedName>
    <definedName name="New_Post_Doc">#REF!</definedName>
    <definedName name="Old_Age_Pension">[3]Parameters!$B$5</definedName>
    <definedName name="Other_Cost_Categories" localSheetId="3">[1]!Table6[Select one]</definedName>
    <definedName name="Other_Cost_Categories" localSheetId="14">[1]!Table6[Select one]</definedName>
    <definedName name="Other_Cost_Categories" localSheetId="16">[1]!Table6[Select one]</definedName>
    <definedName name="Other_Cost_Categories" localSheetId="1">[1]!Table6[Select one]</definedName>
    <definedName name="Other_Cost_Categories" localSheetId="13">[1]!Table6[Select one]</definedName>
    <definedName name="Other_Cost_Categories" localSheetId="15">[1]!Table6[Select one]</definedName>
    <definedName name="Other_Cost_Categories">[1]!Table6[Select one]</definedName>
    <definedName name="PhD_Student___EU" localSheetId="20">#REF!</definedName>
    <definedName name="PhD_Student___EU">#REF!</definedName>
    <definedName name="PhD_Student___Non_EU" localSheetId="20">#REF!</definedName>
    <definedName name="PhD_Student___Non_EU">#REF!</definedName>
    <definedName name="PostDoc_L2A" localSheetId="20">#REF!</definedName>
    <definedName name="PostDoc_L2A">#REF!</definedName>
    <definedName name="PostDoc_L2B">#REF!</definedName>
    <definedName name="_xlnm.Print_Area" localSheetId="3">'1B. '!$A$1:$H$61</definedName>
    <definedName name="_xlnm.Print_Area" localSheetId="14">'1B. OLD'!$A$1:$H$51</definedName>
    <definedName name="_xlnm.Print_Area" localSheetId="0">'Instructions. '!$A$1:$G$45</definedName>
    <definedName name="_xlnm.Print_Area" localSheetId="10">'Project Budget EURO'!$A$1:$F$20</definedName>
    <definedName name="_xlnm.Print_Area" localSheetId="16">'Project Budget NON-EURO'!$A$1:$G$24</definedName>
    <definedName name="_xlnm.Print_Area" localSheetId="1">'Step 1 - Payroll'!$A$1:$H$7</definedName>
    <definedName name="_xlnm.Print_Area" localSheetId="13">'Step 1A - OLD'!$A$1:$I$52</definedName>
    <definedName name="_xlnm.Print_Area" localSheetId="2">'Step 1A.'!$A$1:$H$95</definedName>
    <definedName name="_xlnm.Print_Area" localSheetId="4">'Step 2.'!$A$1:$J$21</definedName>
    <definedName name="_xlnm.Print_Area" localSheetId="6">'Step 4.'!$A$1:$J$20</definedName>
    <definedName name="_xlnm.Print_Area" localSheetId="7">'Step 5.'!$A$1:$J$47</definedName>
    <definedName name="_xlnm.Print_Area" localSheetId="15">'Step 6 - Old'!$A$1:$D$15</definedName>
    <definedName name="_xlnm.Print_Area" localSheetId="8">'Step 6.'!$A$1:$J$21</definedName>
    <definedName name="Print_Area_0" localSheetId="20">#REF!</definedName>
    <definedName name="Print_Area_0">#REF!</definedName>
    <definedName name="PrintBudget">[4]EquipmentBudget!$A$32:$H$91</definedName>
    <definedName name="Professor" localSheetId="20">#REF!</definedName>
    <definedName name="Professor">#REF!</definedName>
    <definedName name="PSCatStart">[5]PermStaffSalary!$A$1</definedName>
    <definedName name="PSClassCol">[5]PermStaffSalary!$A$1:$A$65536</definedName>
    <definedName name="Publication_costs" localSheetId="3">[1]!Table11[Select one: ]</definedName>
    <definedName name="Publication_costs" localSheetId="14">[1]!Table11[Select one: ]</definedName>
    <definedName name="Publication_costs" localSheetId="16">[1]!Table11[Select one: ]</definedName>
    <definedName name="Publication_costs" localSheetId="1">[1]!Table11[Select one: ]</definedName>
    <definedName name="Publication_costs" localSheetId="13">[1]!Table11[Select one: ]</definedName>
    <definedName name="Publication_costs" localSheetId="15">[1]!Table11[Select one: ]</definedName>
    <definedName name="Publication_costs">[1]!Table11[Select one: ]</definedName>
    <definedName name="Research_Assistant" localSheetId="20">#REF!</definedName>
    <definedName name="Research_Assistant">#REF!</definedName>
    <definedName name="Research_Fellow" localSheetId="20">#REF!</definedName>
    <definedName name="Research_Fellow">#REF!</definedName>
    <definedName name="Senior_Research_Fellow" localSheetId="20">#REF!</definedName>
    <definedName name="Senior_Research_Fellow">#REF!</definedName>
    <definedName name="StaffTypeList" localSheetId="20">#REF!</definedName>
    <definedName name="StaffTypeList">#REF!</definedName>
    <definedName name="StartGradeType" localSheetId="20">#REF!</definedName>
    <definedName name="StartGradeType">#REF!</definedName>
    <definedName name="StartStaffType">#REF!</definedName>
    <definedName name="test" localSheetId="3">[1]!Table12[Select one]</definedName>
    <definedName name="test" localSheetId="16">[1]!Table12[Select one]</definedName>
    <definedName name="test" localSheetId="1">[1]!Table12[Select one]</definedName>
    <definedName name="test" localSheetId="15">[1]!Table12[Select one]</definedName>
    <definedName name="test">[1]!Table12[Select one]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9" l="1"/>
  <c r="D18" i="19"/>
  <c r="F21" i="40"/>
  <c r="D17" i="19" s="1"/>
  <c r="E17" i="19"/>
  <c r="C17" i="19"/>
  <c r="B17" i="19"/>
  <c r="E15" i="19"/>
  <c r="D15" i="19"/>
  <c r="C15" i="19"/>
  <c r="B15" i="19"/>
  <c r="F21" i="41"/>
  <c r="E16" i="19"/>
  <c r="D16" i="19"/>
  <c r="C16" i="19"/>
  <c r="E14" i="19"/>
  <c r="D14" i="19"/>
  <c r="C14" i="19"/>
  <c r="F58" i="4"/>
  <c r="E58" i="4"/>
  <c r="D58" i="4"/>
  <c r="C58" i="4"/>
  <c r="F15" i="19" l="1"/>
  <c r="G58" i="4"/>
  <c r="E57" i="4" l="1"/>
  <c r="D56" i="4"/>
  <c r="C56" i="4"/>
  <c r="F56" i="4"/>
  <c r="E56" i="4"/>
  <c r="F54" i="4"/>
  <c r="E54" i="4"/>
  <c r="D54" i="4"/>
  <c r="C54" i="4"/>
  <c r="F52" i="4"/>
  <c r="E52" i="4"/>
  <c r="D52" i="4"/>
  <c r="C52" i="4"/>
  <c r="F50" i="4"/>
  <c r="E50" i="4"/>
  <c r="D50" i="4"/>
  <c r="D61" i="4" s="1"/>
  <c r="C50" i="4"/>
  <c r="F60" i="4"/>
  <c r="E60" i="4"/>
  <c r="D60" i="4"/>
  <c r="C60" i="4"/>
  <c r="F57" i="4"/>
  <c r="D57" i="4"/>
  <c r="C57" i="4"/>
  <c r="F55" i="4"/>
  <c r="E55" i="4"/>
  <c r="D55" i="4"/>
  <c r="C55" i="4"/>
  <c r="F53" i="4"/>
  <c r="E53" i="4"/>
  <c r="D53" i="4"/>
  <c r="C53" i="4"/>
  <c r="F51" i="4"/>
  <c r="E51" i="4"/>
  <c r="D51" i="4"/>
  <c r="C51" i="4"/>
  <c r="R58" i="4"/>
  <c r="U58" i="4"/>
  <c r="L58" i="4"/>
  <c r="M58" i="4"/>
  <c r="O58" i="4"/>
  <c r="P58" i="4"/>
  <c r="S58" i="4"/>
  <c r="V58" i="4"/>
  <c r="Y58" i="4"/>
  <c r="C8" i="43"/>
  <c r="D8" i="43" s="1"/>
  <c r="E8" i="43" s="1"/>
  <c r="C6" i="43"/>
  <c r="D6" i="43" s="1"/>
  <c r="E6" i="43" s="1"/>
  <c r="C65" i="4" l="1"/>
  <c r="F61" i="4"/>
  <c r="C61" i="4"/>
  <c r="G61" i="4" s="1"/>
  <c r="E61" i="4"/>
  <c r="D65" i="4"/>
  <c r="E65" i="4"/>
  <c r="F65" i="4"/>
  <c r="G60" i="4"/>
  <c r="G51" i="4"/>
  <c r="G57" i="4"/>
  <c r="G55" i="4"/>
  <c r="G53" i="4"/>
  <c r="X58" i="4"/>
  <c r="G56" i="1"/>
  <c r="G55" i="1"/>
  <c r="G54" i="1"/>
  <c r="G53" i="1"/>
  <c r="G48" i="1"/>
  <c r="G47" i="1"/>
  <c r="G46" i="1"/>
  <c r="G45" i="1"/>
  <c r="G40" i="1"/>
  <c r="G39" i="1"/>
  <c r="G38" i="1"/>
  <c r="G37" i="1"/>
  <c r="G32" i="1"/>
  <c r="G31" i="1"/>
  <c r="G30" i="1"/>
  <c r="G29" i="1"/>
  <c r="G28" i="1"/>
  <c r="G27" i="1"/>
  <c r="G22" i="1"/>
  <c r="G21" i="1"/>
  <c r="G20" i="1"/>
  <c r="G19" i="1"/>
  <c r="G18" i="1"/>
  <c r="G17" i="1"/>
  <c r="G16" i="1"/>
  <c r="G15" i="1"/>
  <c r="G14" i="1"/>
  <c r="G13" i="1"/>
  <c r="G12" i="1"/>
  <c r="G11" i="1"/>
  <c r="G10" i="1"/>
  <c r="G65" i="4" l="1"/>
  <c r="F20" i="39"/>
  <c r="F21" i="38" l="1"/>
  <c r="I24" i="42"/>
  <c r="H24" i="42"/>
  <c r="G24" i="42"/>
  <c r="F24" i="42"/>
  <c r="E24" i="42"/>
  <c r="D24" i="42"/>
  <c r="J23" i="42"/>
  <c r="J22" i="42"/>
  <c r="J21" i="42"/>
  <c r="J20" i="42"/>
  <c r="J19" i="42"/>
  <c r="J18" i="42"/>
  <c r="J17" i="42"/>
  <c r="J16" i="42"/>
  <c r="J15" i="42"/>
  <c r="J14" i="42"/>
  <c r="J13" i="42"/>
  <c r="J12" i="42"/>
  <c r="J24" i="42" s="1"/>
  <c r="I21" i="41" l="1"/>
  <c r="H21" i="41"/>
  <c r="G21" i="41"/>
  <c r="E21" i="41"/>
  <c r="C18" i="19" s="1"/>
  <c r="D21" i="41"/>
  <c r="B18" i="19" s="1"/>
  <c r="J20" i="41"/>
  <c r="J19" i="41"/>
  <c r="J18" i="41"/>
  <c r="J17" i="41"/>
  <c r="J16" i="41"/>
  <c r="J15" i="41"/>
  <c r="J14" i="41"/>
  <c r="J13" i="41"/>
  <c r="J12" i="41"/>
  <c r="J11" i="41"/>
  <c r="J10" i="41"/>
  <c r="J9" i="41"/>
  <c r="I21" i="40"/>
  <c r="H21" i="40"/>
  <c r="G21" i="40"/>
  <c r="E21" i="40"/>
  <c r="D21" i="40"/>
  <c r="J20" i="40"/>
  <c r="J19" i="40"/>
  <c r="J18" i="40"/>
  <c r="J17" i="40"/>
  <c r="J16" i="40"/>
  <c r="J15" i="40"/>
  <c r="J14" i="40"/>
  <c r="J13" i="40"/>
  <c r="J12" i="40"/>
  <c r="J11" i="40"/>
  <c r="J10" i="40"/>
  <c r="J9" i="40"/>
  <c r="I20" i="39"/>
  <c r="H20" i="39"/>
  <c r="G20" i="39"/>
  <c r="E20" i="39"/>
  <c r="D20" i="39"/>
  <c r="B16" i="19" s="1"/>
  <c r="J19" i="39"/>
  <c r="J18" i="39"/>
  <c r="J17" i="39"/>
  <c r="J16" i="39"/>
  <c r="J15" i="39"/>
  <c r="J14" i="39"/>
  <c r="J13" i="39"/>
  <c r="J12" i="39"/>
  <c r="J11" i="39"/>
  <c r="J10" i="39"/>
  <c r="J9" i="39"/>
  <c r="J8" i="39"/>
  <c r="I21" i="38"/>
  <c r="H21" i="38"/>
  <c r="G21" i="38"/>
  <c r="E21" i="38"/>
  <c r="D21" i="38"/>
  <c r="B14" i="19" s="1"/>
  <c r="J20" i="38"/>
  <c r="J19" i="38"/>
  <c r="J18" i="38"/>
  <c r="J17" i="38"/>
  <c r="J16" i="38"/>
  <c r="J15" i="38"/>
  <c r="J14" i="38"/>
  <c r="J13" i="38"/>
  <c r="J12" i="38"/>
  <c r="J11" i="38"/>
  <c r="J10" i="38"/>
  <c r="J9" i="38"/>
  <c r="F18" i="19" l="1"/>
  <c r="J21" i="41"/>
  <c r="F17" i="19"/>
  <c r="J21" i="40"/>
  <c r="J20" i="39"/>
  <c r="F16" i="19"/>
  <c r="F14" i="19"/>
  <c r="J21" i="38"/>
  <c r="C35" i="30"/>
  <c r="C37" i="30" s="1"/>
  <c r="C31" i="30"/>
  <c r="C32" i="30" s="1"/>
  <c r="C27" i="30"/>
  <c r="C29" i="30" s="1"/>
  <c r="C23" i="30"/>
  <c r="C19" i="30"/>
  <c r="K9" i="30"/>
  <c r="C40" i="30" l="1"/>
  <c r="C36" i="30"/>
  <c r="C33" i="30"/>
  <c r="C28" i="30"/>
  <c r="C30" i="30" l="1"/>
  <c r="C38" i="30"/>
  <c r="C34" i="30"/>
  <c r="B76" i="4" l="1"/>
  <c r="B77" i="4"/>
  <c r="B78" i="4"/>
  <c r="B79" i="4"/>
  <c r="B80" i="4"/>
  <c r="G24" i="29" a="1"/>
  <c r="G24" i="29" s="1"/>
  <c r="F24" i="29" a="1"/>
  <c r="F24" i="29" s="1"/>
  <c r="E24" i="29" a="1"/>
  <c r="E24" i="29" s="1"/>
  <c r="D24" i="29" a="1"/>
  <c r="D24" i="29" s="1"/>
  <c r="C24" i="29"/>
  <c r="G20" i="29" a="1"/>
  <c r="G20" i="29" s="1"/>
  <c r="F20" i="29" a="1"/>
  <c r="F20" i="29" s="1"/>
  <c r="E20" i="29" a="1"/>
  <c r="E20" i="29" s="1"/>
  <c r="D20" i="29" a="1"/>
  <c r="D20" i="29" s="1"/>
  <c r="C20" i="29"/>
  <c r="G16" i="29" a="1"/>
  <c r="G16" i="29" s="1"/>
  <c r="F16" i="29" a="1"/>
  <c r="F16" i="29" s="1"/>
  <c r="E16" i="29" a="1"/>
  <c r="E16" i="29" s="1"/>
  <c r="D16" i="29" a="1"/>
  <c r="D16" i="29" s="1"/>
  <c r="C16" i="29"/>
  <c r="G12" i="29" a="1"/>
  <c r="G12" i="29" s="1"/>
  <c r="F12" i="29" a="1"/>
  <c r="F12" i="29" s="1"/>
  <c r="E12" i="29" a="1"/>
  <c r="E12" i="29" s="1"/>
  <c r="D12" i="29" a="1"/>
  <c r="D12" i="29" s="1"/>
  <c r="C12" i="29"/>
  <c r="G8" i="29" a="1"/>
  <c r="G8" i="29" s="1"/>
  <c r="F8" i="29" a="1"/>
  <c r="F8" i="29" s="1"/>
  <c r="E8" i="29" a="1"/>
  <c r="E8" i="29" s="1"/>
  <c r="D8" i="29" a="1"/>
  <c r="D8" i="29" s="1"/>
  <c r="C8" i="29"/>
  <c r="G2" i="24"/>
  <c r="D10" i="1"/>
  <c r="E10" i="1"/>
  <c r="H10" i="1"/>
  <c r="I10" i="1"/>
  <c r="D11" i="1"/>
  <c r="E11" i="1"/>
  <c r="H11" i="1"/>
  <c r="I11" i="1"/>
  <c r="D12" i="1"/>
  <c r="E12" i="1"/>
  <c r="H12" i="1"/>
  <c r="I12" i="1"/>
  <c r="D13" i="1"/>
  <c r="E13" i="1"/>
  <c r="H13" i="1"/>
  <c r="I13" i="1"/>
  <c r="D14" i="1"/>
  <c r="E14" i="1"/>
  <c r="H14" i="1"/>
  <c r="I14" i="1"/>
  <c r="D15" i="1"/>
  <c r="E15" i="1"/>
  <c r="H15" i="1"/>
  <c r="I15" i="1"/>
  <c r="D16" i="1"/>
  <c r="E16" i="1"/>
  <c r="H16" i="1"/>
  <c r="I16" i="1"/>
  <c r="D17" i="1"/>
  <c r="E17" i="1"/>
  <c r="H17" i="1"/>
  <c r="I17" i="1"/>
  <c r="D18" i="1"/>
  <c r="E18" i="1"/>
  <c r="H18" i="1"/>
  <c r="I18" i="1"/>
  <c r="D19" i="1"/>
  <c r="E19" i="1"/>
  <c r="H19" i="1"/>
  <c r="I19" i="1"/>
  <c r="D20" i="1"/>
  <c r="E20" i="1"/>
  <c r="H20" i="1"/>
  <c r="I20" i="1"/>
  <c r="D21" i="1"/>
  <c r="E21" i="1"/>
  <c r="H21" i="1"/>
  <c r="I21" i="1"/>
  <c r="D22" i="1"/>
  <c r="E22" i="1"/>
  <c r="H22" i="1"/>
  <c r="I22" i="1"/>
  <c r="G23" i="1"/>
  <c r="G24" i="1"/>
  <c r="G25" i="1"/>
  <c r="G26" i="1"/>
  <c r="D27" i="1"/>
  <c r="F27" i="1" s="1"/>
  <c r="E27" i="1"/>
  <c r="H27" i="1"/>
  <c r="I27" i="1"/>
  <c r="D28" i="1"/>
  <c r="F28" i="1" s="1"/>
  <c r="E28" i="1"/>
  <c r="H28" i="1"/>
  <c r="I28" i="1"/>
  <c r="D29" i="1"/>
  <c r="F29" i="1" s="1"/>
  <c r="E29" i="1"/>
  <c r="H29" i="1"/>
  <c r="J29" i="1" s="1"/>
  <c r="I29" i="1"/>
  <c r="D30" i="1"/>
  <c r="F30" i="1" s="1"/>
  <c r="E30" i="1"/>
  <c r="H30" i="1"/>
  <c r="I30" i="1"/>
  <c r="D31" i="1"/>
  <c r="F31" i="1" s="1"/>
  <c r="E31" i="1"/>
  <c r="H31" i="1"/>
  <c r="I31" i="1"/>
  <c r="D32" i="1"/>
  <c r="F32" i="1" s="1"/>
  <c r="E32" i="1"/>
  <c r="H32" i="1"/>
  <c r="I32" i="1"/>
  <c r="G33" i="1"/>
  <c r="G34" i="1"/>
  <c r="G35" i="1"/>
  <c r="G36" i="1"/>
  <c r="D37" i="1"/>
  <c r="E37" i="1"/>
  <c r="F37" i="1" s="1"/>
  <c r="H37" i="1"/>
  <c r="I37" i="1"/>
  <c r="D38" i="1"/>
  <c r="F38" i="1" s="1"/>
  <c r="E38" i="1"/>
  <c r="H38" i="1"/>
  <c r="I38" i="1"/>
  <c r="D39" i="1"/>
  <c r="E39" i="1"/>
  <c r="H39" i="1"/>
  <c r="I39" i="1"/>
  <c r="D40" i="1"/>
  <c r="E40" i="1"/>
  <c r="H40" i="1"/>
  <c r="I40" i="1"/>
  <c r="G41" i="1"/>
  <c r="G42" i="1"/>
  <c r="G43" i="1"/>
  <c r="G44" i="1"/>
  <c r="D45" i="1"/>
  <c r="E45" i="1"/>
  <c r="H45" i="1"/>
  <c r="I45" i="1"/>
  <c r="D46" i="1"/>
  <c r="E46" i="1"/>
  <c r="H46" i="1"/>
  <c r="I46" i="1"/>
  <c r="D47" i="1"/>
  <c r="E47" i="1"/>
  <c r="H47" i="1"/>
  <c r="I47" i="1"/>
  <c r="D48" i="1"/>
  <c r="E48" i="1"/>
  <c r="H48" i="1"/>
  <c r="I48" i="1"/>
  <c r="G49" i="1"/>
  <c r="G50" i="1"/>
  <c r="G51" i="1"/>
  <c r="G52" i="1"/>
  <c r="D53" i="1"/>
  <c r="E53" i="1"/>
  <c r="H53" i="1"/>
  <c r="I53" i="1"/>
  <c r="D54" i="1"/>
  <c r="E54" i="1"/>
  <c r="H54" i="1"/>
  <c r="I54" i="1"/>
  <c r="D55" i="1"/>
  <c r="E55" i="1"/>
  <c r="H55" i="1"/>
  <c r="I55" i="1"/>
  <c r="D56" i="1"/>
  <c r="E56" i="1"/>
  <c r="H56" i="1"/>
  <c r="I56" i="1"/>
  <c r="G57" i="1"/>
  <c r="G58" i="1"/>
  <c r="G59" i="1"/>
  <c r="J2" i="24"/>
  <c r="D11" i="24"/>
  <c r="E11" i="24"/>
  <c r="D12" i="24"/>
  <c r="E12" i="24"/>
  <c r="D13" i="24"/>
  <c r="E13" i="24"/>
  <c r="D14" i="24"/>
  <c r="E14" i="24"/>
  <c r="D15" i="24"/>
  <c r="E15" i="24"/>
  <c r="D16" i="24"/>
  <c r="E16" i="24"/>
  <c r="D23" i="24"/>
  <c r="E23" i="24"/>
  <c r="D24" i="24"/>
  <c r="E24" i="24"/>
  <c r="D25" i="24"/>
  <c r="E25" i="24"/>
  <c r="D26" i="24"/>
  <c r="E26" i="24"/>
  <c r="D27" i="24"/>
  <c r="E27" i="24"/>
  <c r="D28" i="24"/>
  <c r="E28" i="24"/>
  <c r="D35" i="24"/>
  <c r="E35" i="24"/>
  <c r="D36" i="24"/>
  <c r="E36" i="24"/>
  <c r="D37" i="24"/>
  <c r="F37" i="24" s="1"/>
  <c r="E37" i="24"/>
  <c r="D38" i="24"/>
  <c r="E38" i="24"/>
  <c r="D39" i="24"/>
  <c r="E39" i="24"/>
  <c r="D40" i="24"/>
  <c r="E40" i="24"/>
  <c r="D47" i="24"/>
  <c r="E47" i="24"/>
  <c r="D48" i="24"/>
  <c r="E48" i="24"/>
  <c r="D49" i="24"/>
  <c r="E49" i="24"/>
  <c r="D50" i="24"/>
  <c r="E50" i="24"/>
  <c r="D51" i="24"/>
  <c r="E51" i="24"/>
  <c r="D52" i="24"/>
  <c r="E52" i="24"/>
  <c r="F52" i="24" s="1"/>
  <c r="D59" i="24"/>
  <c r="E59" i="24"/>
  <c r="D60" i="24"/>
  <c r="E60" i="24"/>
  <c r="D61" i="24"/>
  <c r="E61" i="24"/>
  <c r="D62" i="24"/>
  <c r="E62" i="24"/>
  <c r="D63" i="24"/>
  <c r="E63" i="24"/>
  <c r="D64" i="24"/>
  <c r="E64" i="24"/>
  <c r="F64" i="24"/>
  <c r="D65" i="24"/>
  <c r="E65" i="24"/>
  <c r="D66" i="24"/>
  <c r="E66" i="24"/>
  <c r="D75" i="24"/>
  <c r="E75" i="24"/>
  <c r="D76" i="24"/>
  <c r="E76" i="24"/>
  <c r="D77" i="24"/>
  <c r="E77" i="24"/>
  <c r="D78" i="24"/>
  <c r="E78" i="24"/>
  <c r="G77" i="26"/>
  <c r="H77" i="26" s="1"/>
  <c r="E77" i="26"/>
  <c r="D77" i="26"/>
  <c r="G76" i="26"/>
  <c r="E76" i="26"/>
  <c r="D76" i="26"/>
  <c r="O75" i="26"/>
  <c r="P75" i="26" s="1"/>
  <c r="G75" i="26"/>
  <c r="K75" i="26" s="1"/>
  <c r="L75" i="26" s="1"/>
  <c r="E75" i="26"/>
  <c r="D75" i="26"/>
  <c r="G74" i="26"/>
  <c r="H74" i="26" s="1"/>
  <c r="E74" i="26"/>
  <c r="D74" i="26"/>
  <c r="G73" i="26"/>
  <c r="E73" i="26"/>
  <c r="D73" i="26"/>
  <c r="G72" i="26"/>
  <c r="H72" i="26" s="1"/>
  <c r="E72" i="26"/>
  <c r="D72" i="26"/>
  <c r="G71" i="26"/>
  <c r="K71" i="26" s="1"/>
  <c r="E71" i="26"/>
  <c r="D71" i="26"/>
  <c r="K70" i="26"/>
  <c r="L70" i="26" s="1"/>
  <c r="G70" i="26"/>
  <c r="I70" i="26" s="1"/>
  <c r="E70" i="26"/>
  <c r="D70" i="26"/>
  <c r="G69" i="26"/>
  <c r="K69" i="26" s="1"/>
  <c r="E69" i="26"/>
  <c r="D69" i="26"/>
  <c r="F69" i="26" s="1"/>
  <c r="G68" i="26"/>
  <c r="I68" i="26" s="1"/>
  <c r="E68" i="26"/>
  <c r="D68" i="26"/>
  <c r="G67" i="26"/>
  <c r="E67" i="26"/>
  <c r="D67" i="26"/>
  <c r="G66" i="26"/>
  <c r="H66" i="26" s="1"/>
  <c r="E66" i="26"/>
  <c r="D66" i="26"/>
  <c r="G65" i="26"/>
  <c r="H65" i="26" s="1"/>
  <c r="E65" i="26"/>
  <c r="D65" i="26"/>
  <c r="F65" i="26" s="1"/>
  <c r="G64" i="26"/>
  <c r="K64" i="26" s="1"/>
  <c r="L64" i="26" s="1"/>
  <c r="E64" i="26"/>
  <c r="D64" i="26"/>
  <c r="G63" i="26"/>
  <c r="K63" i="26" s="1"/>
  <c r="O63" i="26" s="1"/>
  <c r="E63" i="26"/>
  <c r="D63" i="26"/>
  <c r="G62" i="26"/>
  <c r="H62" i="26" s="1"/>
  <c r="E62" i="26"/>
  <c r="D62" i="26"/>
  <c r="G61" i="26"/>
  <c r="E61" i="26"/>
  <c r="D61" i="26"/>
  <c r="G60" i="26"/>
  <c r="H60" i="26" s="1"/>
  <c r="E60" i="26"/>
  <c r="D60" i="26"/>
  <c r="G59" i="26"/>
  <c r="K59" i="26" s="1"/>
  <c r="O59" i="26" s="1"/>
  <c r="E59" i="26"/>
  <c r="D59" i="26"/>
  <c r="G58" i="26"/>
  <c r="K58" i="26" s="1"/>
  <c r="L58" i="26" s="1"/>
  <c r="E58" i="26"/>
  <c r="D58" i="26"/>
  <c r="G57" i="26"/>
  <c r="H57" i="26" s="1"/>
  <c r="E57" i="26"/>
  <c r="D57" i="26"/>
  <c r="G56" i="26"/>
  <c r="I56" i="26" s="1"/>
  <c r="E56" i="26"/>
  <c r="D56" i="26"/>
  <c r="G55" i="26"/>
  <c r="K55" i="26" s="1"/>
  <c r="E55" i="26"/>
  <c r="D55" i="26"/>
  <c r="G54" i="26"/>
  <c r="H54" i="26" s="1"/>
  <c r="E54" i="26"/>
  <c r="D54" i="26"/>
  <c r="G53" i="26"/>
  <c r="H53" i="26" s="1"/>
  <c r="E53" i="26"/>
  <c r="D53" i="26"/>
  <c r="G52" i="26"/>
  <c r="E52" i="26"/>
  <c r="D52" i="26"/>
  <c r="F52" i="26" s="1"/>
  <c r="G51" i="26"/>
  <c r="E51" i="26"/>
  <c r="D51" i="26"/>
  <c r="G50" i="26"/>
  <c r="K50" i="26" s="1"/>
  <c r="E50" i="26"/>
  <c r="D50" i="26"/>
  <c r="F50" i="26" s="1"/>
  <c r="G49" i="26"/>
  <c r="I49" i="26" s="1"/>
  <c r="E49" i="26"/>
  <c r="D49" i="26"/>
  <c r="K48" i="26"/>
  <c r="I48" i="26"/>
  <c r="G48" i="26"/>
  <c r="H48" i="26" s="1"/>
  <c r="E48" i="26"/>
  <c r="D48" i="26"/>
  <c r="F48" i="26" s="1"/>
  <c r="G47" i="26"/>
  <c r="H47" i="26" s="1"/>
  <c r="E47" i="26"/>
  <c r="D47" i="26"/>
  <c r="F47" i="26" s="1"/>
  <c r="K46" i="26"/>
  <c r="M46" i="26" s="1"/>
  <c r="G46" i="26"/>
  <c r="I46" i="26" s="1"/>
  <c r="E46" i="26"/>
  <c r="D46" i="26"/>
  <c r="K45" i="26"/>
  <c r="O45" i="26" s="1"/>
  <c r="S45" i="26" s="1"/>
  <c r="G45" i="26"/>
  <c r="H45" i="26" s="1"/>
  <c r="E45" i="26"/>
  <c r="D45" i="26"/>
  <c r="G44" i="26"/>
  <c r="E44" i="26"/>
  <c r="D44" i="26"/>
  <c r="G43" i="26"/>
  <c r="E43" i="26"/>
  <c r="D43" i="26"/>
  <c r="G42" i="26"/>
  <c r="E42" i="26"/>
  <c r="D42" i="26"/>
  <c r="G41" i="26"/>
  <c r="K41" i="26" s="1"/>
  <c r="L41" i="26" s="1"/>
  <c r="E41" i="26"/>
  <c r="D41" i="26"/>
  <c r="G40" i="26"/>
  <c r="K40" i="26" s="1"/>
  <c r="M40" i="26" s="1"/>
  <c r="E40" i="26"/>
  <c r="D40" i="26"/>
  <c r="G39" i="26"/>
  <c r="I39" i="26" s="1"/>
  <c r="E39" i="26"/>
  <c r="D39" i="26"/>
  <c r="G38" i="26"/>
  <c r="E38" i="26"/>
  <c r="D38" i="26"/>
  <c r="F38" i="26" s="1"/>
  <c r="G37" i="26"/>
  <c r="K37" i="26" s="1"/>
  <c r="E37" i="26"/>
  <c r="D37" i="26"/>
  <c r="G36" i="26"/>
  <c r="E36" i="26"/>
  <c r="D36" i="26"/>
  <c r="G35" i="26"/>
  <c r="H35" i="26" s="1"/>
  <c r="E35" i="26"/>
  <c r="D35" i="26"/>
  <c r="K34" i="26"/>
  <c r="L34" i="26" s="1"/>
  <c r="I34" i="26"/>
  <c r="G34" i="26"/>
  <c r="H34" i="26" s="1"/>
  <c r="E34" i="26"/>
  <c r="D34" i="26"/>
  <c r="F34" i="26" s="1"/>
  <c r="G33" i="26"/>
  <c r="K33" i="26" s="1"/>
  <c r="E33" i="26"/>
  <c r="D33" i="26"/>
  <c r="F33" i="26" s="1"/>
  <c r="G32" i="26"/>
  <c r="K32" i="26" s="1"/>
  <c r="O32" i="26" s="1"/>
  <c r="E32" i="26"/>
  <c r="D32" i="26"/>
  <c r="G31" i="26"/>
  <c r="E31" i="26"/>
  <c r="D31" i="26"/>
  <c r="G30" i="26"/>
  <c r="E30" i="26"/>
  <c r="D30" i="26"/>
  <c r="G29" i="26"/>
  <c r="K29" i="26" s="1"/>
  <c r="O29" i="26" s="1"/>
  <c r="E29" i="26"/>
  <c r="D29" i="26"/>
  <c r="F29" i="26" s="1"/>
  <c r="G28" i="26"/>
  <c r="H28" i="26" s="1"/>
  <c r="E28" i="26"/>
  <c r="D28" i="26"/>
  <c r="F28" i="26" s="1"/>
  <c r="G27" i="26"/>
  <c r="E27" i="26"/>
  <c r="D27" i="26"/>
  <c r="G26" i="26"/>
  <c r="K26" i="26" s="1"/>
  <c r="L26" i="26" s="1"/>
  <c r="E26" i="26"/>
  <c r="D26" i="26"/>
  <c r="G25" i="26"/>
  <c r="E25" i="26"/>
  <c r="D25" i="26"/>
  <c r="G24" i="26"/>
  <c r="K24" i="26" s="1"/>
  <c r="E24" i="26"/>
  <c r="D24" i="26"/>
  <c r="F24" i="26" s="1"/>
  <c r="G23" i="26"/>
  <c r="E23" i="26"/>
  <c r="D23" i="26"/>
  <c r="G22" i="26"/>
  <c r="H22" i="26" s="1"/>
  <c r="E22" i="26"/>
  <c r="D22" i="26"/>
  <c r="G21" i="26"/>
  <c r="H21" i="26" s="1"/>
  <c r="E21" i="26"/>
  <c r="D21" i="26"/>
  <c r="K20" i="26"/>
  <c r="O20" i="26" s="1"/>
  <c r="S20" i="26" s="1"/>
  <c r="T20" i="26" s="1"/>
  <c r="I20" i="26"/>
  <c r="G20" i="26"/>
  <c r="H20" i="26" s="1"/>
  <c r="J20" i="26" s="1"/>
  <c r="E20" i="26"/>
  <c r="D20" i="26"/>
  <c r="F20" i="26" s="1"/>
  <c r="G19" i="26"/>
  <c r="K19" i="26" s="1"/>
  <c r="E19" i="26"/>
  <c r="D19" i="26"/>
  <c r="G18" i="26"/>
  <c r="E18" i="26"/>
  <c r="D18" i="26"/>
  <c r="G17" i="26"/>
  <c r="H17" i="26" s="1"/>
  <c r="E17" i="26"/>
  <c r="F17" i="26" s="1"/>
  <c r="D17" i="26"/>
  <c r="G16" i="26"/>
  <c r="E16" i="26"/>
  <c r="D16" i="26"/>
  <c r="G15" i="26"/>
  <c r="E15" i="26"/>
  <c r="D15" i="26"/>
  <c r="G14" i="26"/>
  <c r="E14" i="26"/>
  <c r="D14" i="26"/>
  <c r="F14" i="26" s="1"/>
  <c r="G13" i="26"/>
  <c r="K13" i="26" s="1"/>
  <c r="O13" i="26" s="1"/>
  <c r="E13" i="26"/>
  <c r="D13" i="26"/>
  <c r="G12" i="26"/>
  <c r="K12" i="26" s="1"/>
  <c r="E12" i="26"/>
  <c r="D12" i="26"/>
  <c r="G11" i="26"/>
  <c r="H11" i="26" s="1"/>
  <c r="E11" i="26"/>
  <c r="D11" i="26"/>
  <c r="G10" i="26"/>
  <c r="E10" i="26"/>
  <c r="D10" i="26"/>
  <c r="J2" i="26"/>
  <c r="J32" i="1" l="1"/>
  <c r="J16" i="1"/>
  <c r="J14" i="1"/>
  <c r="J48" i="1"/>
  <c r="J45" i="1"/>
  <c r="J40" i="1"/>
  <c r="F21" i="1"/>
  <c r="F13" i="1"/>
  <c r="F56" i="1"/>
  <c r="F54" i="1"/>
  <c r="F40" i="1"/>
  <c r="F39" i="1"/>
  <c r="J19" i="1"/>
  <c r="J13" i="1"/>
  <c r="I22" i="26"/>
  <c r="M45" i="26"/>
  <c r="K49" i="26"/>
  <c r="M58" i="26"/>
  <c r="N58" i="26" s="1"/>
  <c r="F67" i="26"/>
  <c r="I74" i="26"/>
  <c r="J74" i="26" s="1"/>
  <c r="K22" i="26"/>
  <c r="M22" i="26" s="1"/>
  <c r="O34" i="26"/>
  <c r="P34" i="26" s="1"/>
  <c r="L40" i="26"/>
  <c r="N40" i="26" s="1"/>
  <c r="Q45" i="26"/>
  <c r="H46" i="26"/>
  <c r="F71" i="26"/>
  <c r="K74" i="26"/>
  <c r="L74" i="26" s="1"/>
  <c r="F47" i="1"/>
  <c r="F46" i="1"/>
  <c r="J22" i="1"/>
  <c r="F16" i="1"/>
  <c r="J12" i="1"/>
  <c r="C29" i="29"/>
  <c r="G29" i="29"/>
  <c r="F13" i="26"/>
  <c r="H33" i="26"/>
  <c r="F39" i="26"/>
  <c r="F40" i="26"/>
  <c r="O40" i="26"/>
  <c r="F42" i="26"/>
  <c r="F43" i="26"/>
  <c r="I45" i="26"/>
  <c r="J45" i="26" s="1"/>
  <c r="F46" i="26"/>
  <c r="F63" i="26"/>
  <c r="F64" i="26"/>
  <c r="M75" i="26"/>
  <c r="N75" i="26" s="1"/>
  <c r="K77" i="26"/>
  <c r="F77" i="24"/>
  <c r="F65" i="24"/>
  <c r="J47" i="1"/>
  <c r="M37" i="26"/>
  <c r="O37" i="26"/>
  <c r="Q37" i="26" s="1"/>
  <c r="L37" i="26"/>
  <c r="N37" i="26" s="1"/>
  <c r="S59" i="26"/>
  <c r="U59" i="26" s="1"/>
  <c r="Q59" i="26"/>
  <c r="P59" i="26"/>
  <c r="K16" i="26"/>
  <c r="H16" i="26"/>
  <c r="J16" i="26" s="1"/>
  <c r="H27" i="26"/>
  <c r="I27" i="26"/>
  <c r="L49" i="26"/>
  <c r="M49" i="26"/>
  <c r="N49" i="26" s="1"/>
  <c r="K76" i="26"/>
  <c r="L76" i="26" s="1"/>
  <c r="I76" i="26"/>
  <c r="K10" i="26"/>
  <c r="O10" i="26" s="1"/>
  <c r="I10" i="26"/>
  <c r="I16" i="26"/>
  <c r="P20" i="26"/>
  <c r="K27" i="26"/>
  <c r="H43" i="26"/>
  <c r="K43" i="26"/>
  <c r="L43" i="26" s="1"/>
  <c r="I44" i="26"/>
  <c r="H44" i="26"/>
  <c r="O48" i="26"/>
  <c r="P48" i="26" s="1"/>
  <c r="L48" i="26"/>
  <c r="O49" i="26"/>
  <c r="Q49" i="26" s="1"/>
  <c r="H50" i="26"/>
  <c r="I57" i="26"/>
  <c r="J57" i="26" s="1"/>
  <c r="O58" i="26"/>
  <c r="P58" i="26" s="1"/>
  <c r="I60" i="26"/>
  <c r="J60" i="26" s="1"/>
  <c r="F66" i="26"/>
  <c r="H68" i="26"/>
  <c r="J68" i="26" s="1"/>
  <c r="M70" i="26"/>
  <c r="N70" i="26" s="1"/>
  <c r="H76" i="26"/>
  <c r="F36" i="24"/>
  <c r="J20" i="1"/>
  <c r="F14" i="1"/>
  <c r="H10" i="26"/>
  <c r="I11" i="26"/>
  <c r="J11" i="26" s="1"/>
  <c r="H15" i="26"/>
  <c r="I15" i="26"/>
  <c r="Q20" i="26"/>
  <c r="I21" i="26"/>
  <c r="J21" i="26" s="1"/>
  <c r="F22" i="26"/>
  <c r="L22" i="26"/>
  <c r="M29" i="26"/>
  <c r="I43" i="26"/>
  <c r="K44" i="26"/>
  <c r="O44" i="26" s="1"/>
  <c r="M48" i="26"/>
  <c r="I55" i="26"/>
  <c r="H56" i="26"/>
  <c r="J56" i="26" s="1"/>
  <c r="K57" i="26"/>
  <c r="O57" i="26" s="1"/>
  <c r="H58" i="26"/>
  <c r="I59" i="26"/>
  <c r="K60" i="26"/>
  <c r="O60" i="26" s="1"/>
  <c r="I65" i="26"/>
  <c r="K68" i="26"/>
  <c r="O70" i="26"/>
  <c r="I71" i="26"/>
  <c r="I72" i="26"/>
  <c r="J72" i="26" s="1"/>
  <c r="K11" i="26"/>
  <c r="I12" i="26"/>
  <c r="H13" i="26"/>
  <c r="I13" i="26"/>
  <c r="K15" i="26"/>
  <c r="L20" i="26"/>
  <c r="M20" i="26"/>
  <c r="K21" i="26"/>
  <c r="O21" i="26" s="1"/>
  <c r="P21" i="26" s="1"/>
  <c r="J22" i="26"/>
  <c r="O22" i="26"/>
  <c r="P22" i="26" s="1"/>
  <c r="F25" i="26"/>
  <c r="F31" i="26"/>
  <c r="I32" i="26"/>
  <c r="H32" i="26"/>
  <c r="M34" i="26"/>
  <c r="N34" i="26" s="1"/>
  <c r="I47" i="26"/>
  <c r="J47" i="26" s="1"/>
  <c r="K56" i="26"/>
  <c r="I58" i="26"/>
  <c r="F60" i="26"/>
  <c r="F62" i="26"/>
  <c r="K65" i="26"/>
  <c r="L65" i="26" s="1"/>
  <c r="H70" i="26"/>
  <c r="J70" i="26" s="1"/>
  <c r="F72" i="26"/>
  <c r="K72" i="26"/>
  <c r="O72" i="26" s="1"/>
  <c r="F74" i="26"/>
  <c r="J37" i="1"/>
  <c r="J28" i="1"/>
  <c r="F22" i="1"/>
  <c r="J15" i="1"/>
  <c r="F12" i="1"/>
  <c r="F10" i="26"/>
  <c r="F12" i="26"/>
  <c r="F18" i="26"/>
  <c r="F19" i="26"/>
  <c r="F26" i="26"/>
  <c r="F30" i="26"/>
  <c r="F36" i="26"/>
  <c r="F37" i="26"/>
  <c r="F49" i="26"/>
  <c r="F54" i="26"/>
  <c r="F56" i="26"/>
  <c r="F58" i="26"/>
  <c r="F61" i="26"/>
  <c r="I77" i="26"/>
  <c r="F62" i="24"/>
  <c r="F60" i="24"/>
  <c r="F50" i="24"/>
  <c r="F48" i="24"/>
  <c r="F40" i="24"/>
  <c r="F38" i="24"/>
  <c r="F35" i="24"/>
  <c r="F27" i="24"/>
  <c r="F15" i="24"/>
  <c r="F13" i="24"/>
  <c r="J21" i="1"/>
  <c r="F20" i="1"/>
  <c r="F15" i="1"/>
  <c r="J11" i="1"/>
  <c r="H24" i="29"/>
  <c r="D29" i="29"/>
  <c r="E29" i="29"/>
  <c r="F29" i="29"/>
  <c r="C21" i="30"/>
  <c r="C20" i="30"/>
  <c r="F55" i="1"/>
  <c r="F53" i="1"/>
  <c r="F45" i="1"/>
  <c r="F48" i="1"/>
  <c r="J46" i="1"/>
  <c r="J56" i="1"/>
  <c r="J55" i="1"/>
  <c r="J54" i="1"/>
  <c r="J53" i="1"/>
  <c r="J39" i="1"/>
  <c r="J38" i="1"/>
  <c r="J27" i="1"/>
  <c r="J18" i="1"/>
  <c r="J17" i="1"/>
  <c r="F11" i="1"/>
  <c r="F10" i="1"/>
  <c r="J31" i="1"/>
  <c r="J30" i="1"/>
  <c r="F19" i="1"/>
  <c r="F18" i="1"/>
  <c r="F17" i="1"/>
  <c r="J10" i="1"/>
  <c r="J32" i="26"/>
  <c r="F11" i="26"/>
  <c r="F15" i="26"/>
  <c r="F16" i="26"/>
  <c r="N22" i="26"/>
  <c r="F23" i="26"/>
  <c r="J34" i="26"/>
  <c r="F35" i="26"/>
  <c r="F51" i="26"/>
  <c r="J58" i="26"/>
  <c r="F68" i="26"/>
  <c r="F70" i="26"/>
  <c r="F73" i="26"/>
  <c r="F76" i="26"/>
  <c r="J77" i="26"/>
  <c r="G10" i="29"/>
  <c r="G9" i="29"/>
  <c r="D21" i="29"/>
  <c r="D22" i="29"/>
  <c r="N48" i="26"/>
  <c r="F55" i="26"/>
  <c r="F57" i="26"/>
  <c r="D10" i="29"/>
  <c r="D9" i="29"/>
  <c r="H12" i="29"/>
  <c r="F17" i="29"/>
  <c r="F18" i="29"/>
  <c r="E22" i="29"/>
  <c r="E21" i="29"/>
  <c r="E18" i="29"/>
  <c r="E17" i="29"/>
  <c r="F45" i="26"/>
  <c r="J48" i="26"/>
  <c r="F53" i="26"/>
  <c r="F77" i="26"/>
  <c r="E10" i="29"/>
  <c r="E9" i="29"/>
  <c r="H16" i="29"/>
  <c r="C18" i="29"/>
  <c r="C17" i="29"/>
  <c r="G18" i="29"/>
  <c r="G17" i="29"/>
  <c r="F22" i="29"/>
  <c r="F21" i="29"/>
  <c r="C10" i="29"/>
  <c r="C9" i="29"/>
  <c r="F44" i="26"/>
  <c r="F21" i="26"/>
  <c r="F32" i="26"/>
  <c r="J65" i="26"/>
  <c r="F10" i="29"/>
  <c r="F9" i="29"/>
  <c r="D18" i="29"/>
  <c r="D17" i="29"/>
  <c r="C22" i="29"/>
  <c r="H20" i="29"/>
  <c r="C21" i="29"/>
  <c r="G22" i="29"/>
  <c r="G21" i="29"/>
  <c r="C14" i="29"/>
  <c r="C13" i="29"/>
  <c r="G14" i="29"/>
  <c r="G13" i="29"/>
  <c r="F14" i="29"/>
  <c r="F13" i="29"/>
  <c r="D13" i="29"/>
  <c r="D14" i="29"/>
  <c r="E14" i="29"/>
  <c r="E13" i="29"/>
  <c r="D25" i="29"/>
  <c r="D26" i="29"/>
  <c r="C26" i="29"/>
  <c r="C25" i="29"/>
  <c r="E26" i="29"/>
  <c r="E25" i="29"/>
  <c r="G26" i="29"/>
  <c r="G25" i="29"/>
  <c r="F26" i="29"/>
  <c r="F25" i="29"/>
  <c r="F78" i="24"/>
  <c r="F76" i="24"/>
  <c r="F66" i="24"/>
  <c r="F47" i="24"/>
  <c r="F39" i="24"/>
  <c r="F11" i="24"/>
  <c r="F59" i="24"/>
  <c r="F61" i="24"/>
  <c r="F51" i="24"/>
  <c r="F28" i="24"/>
  <c r="F23" i="24"/>
  <c r="F26" i="24"/>
  <c r="F24" i="24"/>
  <c r="F14" i="24"/>
  <c r="F12" i="24"/>
  <c r="F16" i="24"/>
  <c r="F63" i="24"/>
  <c r="F75" i="24"/>
  <c r="F25" i="24"/>
  <c r="F49" i="24"/>
  <c r="L10" i="26"/>
  <c r="S32" i="26"/>
  <c r="Q32" i="26"/>
  <c r="P32" i="26"/>
  <c r="L32" i="26"/>
  <c r="S40" i="26"/>
  <c r="S63" i="26"/>
  <c r="M32" i="26"/>
  <c r="K38" i="26"/>
  <c r="I38" i="26"/>
  <c r="H38" i="26"/>
  <c r="P40" i="26"/>
  <c r="P63" i="26"/>
  <c r="H25" i="26"/>
  <c r="K25" i="26"/>
  <c r="I25" i="26"/>
  <c r="O27" i="26"/>
  <c r="K31" i="26"/>
  <c r="I31" i="26"/>
  <c r="H31" i="26"/>
  <c r="J31" i="26" s="1"/>
  <c r="Q40" i="26"/>
  <c r="J44" i="26"/>
  <c r="O50" i="26"/>
  <c r="M50" i="26"/>
  <c r="L50" i="26"/>
  <c r="L57" i="26"/>
  <c r="Q63" i="26"/>
  <c r="S13" i="26"/>
  <c r="Q13" i="26"/>
  <c r="P13" i="26"/>
  <c r="L27" i="26"/>
  <c r="O55" i="26"/>
  <c r="M55" i="26"/>
  <c r="N55" i="26" s="1"/>
  <c r="L55" i="26"/>
  <c r="M27" i="26"/>
  <c r="P29" i="26"/>
  <c r="S29" i="26"/>
  <c r="Q29" i="26"/>
  <c r="H39" i="26"/>
  <c r="J39" i="26" s="1"/>
  <c r="K39" i="26"/>
  <c r="J46" i="26"/>
  <c r="H55" i="26"/>
  <c r="J55" i="26" s="1"/>
  <c r="O12" i="26"/>
  <c r="M12" i="26"/>
  <c r="L12" i="26"/>
  <c r="H12" i="26"/>
  <c r="J12" i="26" s="1"/>
  <c r="O26" i="26"/>
  <c r="M26" i="26"/>
  <c r="N26" i="26" s="1"/>
  <c r="O41" i="26"/>
  <c r="M41" i="26"/>
  <c r="N41" i="26" s="1"/>
  <c r="K62" i="26"/>
  <c r="I62" i="26"/>
  <c r="J62" i="26" s="1"/>
  <c r="K66" i="26"/>
  <c r="I66" i="26"/>
  <c r="J66" i="26" s="1"/>
  <c r="K14" i="26"/>
  <c r="H51" i="26"/>
  <c r="K51" i="26"/>
  <c r="H14" i="26"/>
  <c r="Q21" i="26"/>
  <c r="R21" i="26" s="1"/>
  <c r="I51" i="26"/>
  <c r="I14" i="26"/>
  <c r="O24" i="26"/>
  <c r="M24" i="26"/>
  <c r="L24" i="26"/>
  <c r="K30" i="26"/>
  <c r="I30" i="26"/>
  <c r="S49" i="26"/>
  <c r="U45" i="26"/>
  <c r="T45" i="26"/>
  <c r="O19" i="26"/>
  <c r="M19" i="26"/>
  <c r="L19" i="26"/>
  <c r="H30" i="26"/>
  <c r="S34" i="26"/>
  <c r="Q34" i="26"/>
  <c r="R34" i="26" s="1"/>
  <c r="K47" i="26"/>
  <c r="L69" i="26"/>
  <c r="O69" i="26"/>
  <c r="M69" i="26"/>
  <c r="H69" i="26"/>
  <c r="L71" i="26"/>
  <c r="L72" i="26"/>
  <c r="L13" i="26"/>
  <c r="H19" i="26"/>
  <c r="H24" i="26"/>
  <c r="K36" i="26"/>
  <c r="I36" i="26"/>
  <c r="J36" i="26" s="1"/>
  <c r="O46" i="26"/>
  <c r="I69" i="26"/>
  <c r="M71" i="26"/>
  <c r="M13" i="26"/>
  <c r="N13" i="26" s="1"/>
  <c r="I19" i="26"/>
  <c r="J19" i="26" s="1"/>
  <c r="I24" i="26"/>
  <c r="J24" i="26" s="1"/>
  <c r="K28" i="26"/>
  <c r="I28" i="26"/>
  <c r="J28" i="26" s="1"/>
  <c r="L29" i="26"/>
  <c r="N29" i="26" s="1"/>
  <c r="H36" i="26"/>
  <c r="K42" i="26"/>
  <c r="I42" i="26"/>
  <c r="H42" i="26"/>
  <c r="P45" i="26"/>
  <c r="R45" i="26" s="1"/>
  <c r="L46" i="26"/>
  <c r="N46" i="26" s="1"/>
  <c r="F59" i="26"/>
  <c r="O65" i="26"/>
  <c r="O71" i="26"/>
  <c r="H61" i="26"/>
  <c r="K67" i="26"/>
  <c r="I67" i="26"/>
  <c r="H67" i="26"/>
  <c r="S70" i="26"/>
  <c r="Q70" i="26"/>
  <c r="K17" i="26"/>
  <c r="L33" i="26"/>
  <c r="O33" i="26"/>
  <c r="M33" i="26"/>
  <c r="H41" i="26"/>
  <c r="I50" i="26"/>
  <c r="J50" i="26" s="1"/>
  <c r="I61" i="26"/>
  <c r="M65" i="26"/>
  <c r="N65" i="26" s="1"/>
  <c r="P70" i="26"/>
  <c r="S75" i="26"/>
  <c r="Q75" i="26"/>
  <c r="R75" i="26" s="1"/>
  <c r="I35" i="26"/>
  <c r="J35" i="26" s="1"/>
  <c r="S37" i="26"/>
  <c r="I41" i="26"/>
  <c r="K61" i="26"/>
  <c r="H73" i="26"/>
  <c r="I73" i="26"/>
  <c r="K73" i="26"/>
  <c r="I17" i="26"/>
  <c r="J17" i="26" s="1"/>
  <c r="U20" i="26"/>
  <c r="V20" i="26" s="1"/>
  <c r="J27" i="26"/>
  <c r="I33" i="26"/>
  <c r="J33" i="26" s="1"/>
  <c r="K35" i="26"/>
  <c r="K52" i="26"/>
  <c r="I52" i="26"/>
  <c r="H52" i="26"/>
  <c r="O77" i="26"/>
  <c r="M77" i="26"/>
  <c r="L77" i="26"/>
  <c r="H63" i="26"/>
  <c r="H59" i="26"/>
  <c r="J59" i="26" s="1"/>
  <c r="I63" i="26"/>
  <c r="F75" i="26"/>
  <c r="K18" i="26"/>
  <c r="I18" i="26"/>
  <c r="O64" i="26"/>
  <c r="M64" i="26"/>
  <c r="N64" i="26" s="1"/>
  <c r="H18" i="26"/>
  <c r="H23" i="26"/>
  <c r="H26" i="26"/>
  <c r="H29" i="26"/>
  <c r="H37" i="26"/>
  <c r="H40" i="26"/>
  <c r="I53" i="26"/>
  <c r="J53" i="26" s="1"/>
  <c r="L59" i="26"/>
  <c r="L63" i="26"/>
  <c r="H64" i="26"/>
  <c r="H75" i="26"/>
  <c r="I23" i="26"/>
  <c r="I26" i="26"/>
  <c r="F27" i="26"/>
  <c r="I29" i="26"/>
  <c r="I37" i="26"/>
  <c r="I40" i="26"/>
  <c r="F41" i="26"/>
  <c r="L45" i="26"/>
  <c r="N45" i="26" s="1"/>
  <c r="S48" i="26"/>
  <c r="H49" i="26"/>
  <c r="J49" i="26" s="1"/>
  <c r="Q58" i="26"/>
  <c r="R58" i="26" s="1"/>
  <c r="M59" i="26"/>
  <c r="M63" i="26"/>
  <c r="N63" i="26" s="1"/>
  <c r="I64" i="26"/>
  <c r="H71" i="26"/>
  <c r="J71" i="26" s="1"/>
  <c r="O74" i="26"/>
  <c r="M74" i="26"/>
  <c r="N74" i="26" s="1"/>
  <c r="I75" i="26"/>
  <c r="S22" i="26"/>
  <c r="K23" i="26"/>
  <c r="K53" i="26"/>
  <c r="K54" i="26"/>
  <c r="I54" i="26"/>
  <c r="J54" i="26" s="1"/>
  <c r="O76" i="26"/>
  <c r="M76" i="26"/>
  <c r="N76" i="26" s="1"/>
  <c r="C44" i="4" l="1"/>
  <c r="C40" i="4"/>
  <c r="C36" i="4"/>
  <c r="C32" i="4"/>
  <c r="C28" i="4"/>
  <c r="C24" i="4"/>
  <c r="C20" i="4"/>
  <c r="C16" i="4"/>
  <c r="C12" i="4"/>
  <c r="C8" i="4"/>
  <c r="N50" i="26"/>
  <c r="N32" i="26"/>
  <c r="J10" i="26"/>
  <c r="J73" i="26"/>
  <c r="S58" i="26"/>
  <c r="M72" i="26"/>
  <c r="L44" i="26"/>
  <c r="S21" i="26"/>
  <c r="U21" i="26" s="1"/>
  <c r="T59" i="26"/>
  <c r="V59" i="26" s="1"/>
  <c r="M10" i="26"/>
  <c r="J13" i="26"/>
  <c r="M16" i="26"/>
  <c r="O16" i="26"/>
  <c r="L16" i="26"/>
  <c r="J64" i="26"/>
  <c r="J23" i="26"/>
  <c r="O43" i="26"/>
  <c r="M43" i="26"/>
  <c r="R70" i="26"/>
  <c r="M44" i="26"/>
  <c r="M60" i="26"/>
  <c r="N19" i="26"/>
  <c r="L60" i="26"/>
  <c r="N60" i="26" s="1"/>
  <c r="R29" i="26"/>
  <c r="M57" i="26"/>
  <c r="R63" i="26"/>
  <c r="N20" i="26"/>
  <c r="R20" i="26"/>
  <c r="J76" i="26"/>
  <c r="J43" i="26"/>
  <c r="Q22" i="26"/>
  <c r="R22" i="26" s="1"/>
  <c r="Q48" i="26"/>
  <c r="R48" i="26" s="1"/>
  <c r="J40" i="26"/>
  <c r="J37" i="26"/>
  <c r="J63" i="26"/>
  <c r="J52" i="26"/>
  <c r="P37" i="26"/>
  <c r="R37" i="26" s="1"/>
  <c r="M21" i="26"/>
  <c r="L21" i="26"/>
  <c r="N21" i="26" s="1"/>
  <c r="J41" i="26"/>
  <c r="J67" i="26"/>
  <c r="P49" i="26"/>
  <c r="R49" i="26" s="1"/>
  <c r="N24" i="26"/>
  <c r="N12" i="26"/>
  <c r="O56" i="26"/>
  <c r="M56" i="26"/>
  <c r="L56" i="26"/>
  <c r="O15" i="26"/>
  <c r="M15" i="26"/>
  <c r="L15" i="26"/>
  <c r="N15" i="26" s="1"/>
  <c r="M11" i="26"/>
  <c r="O11" i="26"/>
  <c r="L11" i="26"/>
  <c r="N11" i="26" s="1"/>
  <c r="O68" i="26"/>
  <c r="L68" i="26"/>
  <c r="M68" i="26"/>
  <c r="J15" i="26"/>
  <c r="R59" i="26"/>
  <c r="E23" i="29"/>
  <c r="F23" i="29"/>
  <c r="E19" i="29"/>
  <c r="G19" i="29"/>
  <c r="C31" i="29"/>
  <c r="D31" i="29"/>
  <c r="F30" i="29"/>
  <c r="E31" i="29"/>
  <c r="E30" i="29"/>
  <c r="F31" i="29"/>
  <c r="G30" i="29"/>
  <c r="C30" i="29"/>
  <c r="D30" i="29"/>
  <c r="G11" i="29"/>
  <c r="G31" i="29"/>
  <c r="G23" i="29"/>
  <c r="C22" i="30"/>
  <c r="J14" i="26"/>
  <c r="J18" i="26"/>
  <c r="N27" i="26"/>
  <c r="R40" i="26"/>
  <c r="H17" i="29"/>
  <c r="E11" i="29"/>
  <c r="N59" i="26"/>
  <c r="J29" i="26"/>
  <c r="N43" i="26"/>
  <c r="N33" i="26"/>
  <c r="J42" i="26"/>
  <c r="N72" i="26"/>
  <c r="J69" i="26"/>
  <c r="J30" i="26"/>
  <c r="J51" i="26"/>
  <c r="R13" i="26"/>
  <c r="J38" i="26"/>
  <c r="R32" i="26"/>
  <c r="N10" i="26"/>
  <c r="C15" i="29"/>
  <c r="H9" i="29"/>
  <c r="N71" i="26"/>
  <c r="J75" i="26"/>
  <c r="J26" i="26"/>
  <c r="J61" i="26"/>
  <c r="N69" i="26"/>
  <c r="N57" i="26"/>
  <c r="J25" i="26"/>
  <c r="H21" i="29"/>
  <c r="N77" i="26"/>
  <c r="H10" i="29"/>
  <c r="D11" i="29"/>
  <c r="H22" i="29"/>
  <c r="F11" i="29"/>
  <c r="F19" i="29"/>
  <c r="D23" i="29"/>
  <c r="D15" i="29"/>
  <c r="H18" i="29"/>
  <c r="V45" i="26"/>
  <c r="C23" i="29"/>
  <c r="D19" i="29"/>
  <c r="C11" i="29"/>
  <c r="C19" i="29"/>
  <c r="E15" i="29"/>
  <c r="F15" i="29"/>
  <c r="F27" i="29"/>
  <c r="E27" i="29"/>
  <c r="H13" i="29"/>
  <c r="G15" i="29"/>
  <c r="H14" i="29"/>
  <c r="H25" i="29"/>
  <c r="H26" i="29"/>
  <c r="G27" i="29"/>
  <c r="C27" i="29"/>
  <c r="D27" i="29"/>
  <c r="S76" i="26"/>
  <c r="Q76" i="26"/>
  <c r="P76" i="26"/>
  <c r="U70" i="26"/>
  <c r="T70" i="26"/>
  <c r="S46" i="26"/>
  <c r="Q46" i="26"/>
  <c r="P46" i="26"/>
  <c r="R46" i="26" s="1"/>
  <c r="O38" i="26"/>
  <c r="M38" i="26"/>
  <c r="L38" i="26"/>
  <c r="L47" i="26"/>
  <c r="O47" i="26"/>
  <c r="M47" i="26"/>
  <c r="P41" i="26"/>
  <c r="S41" i="26"/>
  <c r="Q41" i="26"/>
  <c r="M54" i="26"/>
  <c r="O54" i="26"/>
  <c r="L54" i="26"/>
  <c r="O25" i="26"/>
  <c r="M25" i="26"/>
  <c r="L25" i="26"/>
  <c r="O53" i="26"/>
  <c r="M53" i="26"/>
  <c r="L53" i="26"/>
  <c r="L18" i="26"/>
  <c r="O18" i="26"/>
  <c r="M18" i="26"/>
  <c r="N18" i="26" s="1"/>
  <c r="L73" i="26"/>
  <c r="O73" i="26"/>
  <c r="M73" i="26"/>
  <c r="S44" i="26"/>
  <c r="Q44" i="26"/>
  <c r="R44" i="26" s="1"/>
  <c r="P44" i="26"/>
  <c r="U58" i="26"/>
  <c r="T58" i="26"/>
  <c r="Q33" i="26"/>
  <c r="P33" i="26"/>
  <c r="S33" i="26"/>
  <c r="U34" i="26"/>
  <c r="T34" i="26"/>
  <c r="T49" i="26"/>
  <c r="U49" i="26"/>
  <c r="O14" i="26"/>
  <c r="M14" i="26"/>
  <c r="L14" i="26"/>
  <c r="L23" i="26"/>
  <c r="O23" i="26"/>
  <c r="M23" i="26"/>
  <c r="O52" i="26"/>
  <c r="M52" i="26"/>
  <c r="L52" i="26"/>
  <c r="N52" i="26" s="1"/>
  <c r="T75" i="26"/>
  <c r="U75" i="26"/>
  <c r="U29" i="26"/>
  <c r="T29" i="26"/>
  <c r="V29" i="26" s="1"/>
  <c r="Q24" i="26"/>
  <c r="R24" i="26" s="1"/>
  <c r="S24" i="26"/>
  <c r="P24" i="26"/>
  <c r="S64" i="26"/>
  <c r="P64" i="26"/>
  <c r="Q64" i="26"/>
  <c r="T37" i="26"/>
  <c r="U37" i="26"/>
  <c r="M28" i="26"/>
  <c r="N28" i="26" s="1"/>
  <c r="O28" i="26"/>
  <c r="L28" i="26"/>
  <c r="O51" i="26"/>
  <c r="M51" i="26"/>
  <c r="L51" i="26"/>
  <c r="P55" i="26"/>
  <c r="S55" i="26"/>
  <c r="Q55" i="26"/>
  <c r="S27" i="26"/>
  <c r="Q27" i="26"/>
  <c r="P27" i="26"/>
  <c r="R27" i="26" s="1"/>
  <c r="S77" i="26"/>
  <c r="P77" i="26"/>
  <c r="Q77" i="26"/>
  <c r="O36" i="26"/>
  <c r="M36" i="26"/>
  <c r="L36" i="26"/>
  <c r="O39" i="26"/>
  <c r="M39" i="26"/>
  <c r="L39" i="26"/>
  <c r="T63" i="26"/>
  <c r="U63" i="26"/>
  <c r="O67" i="26"/>
  <c r="M67" i="26"/>
  <c r="L67" i="26"/>
  <c r="S26" i="26"/>
  <c r="Q26" i="26"/>
  <c r="P26" i="26"/>
  <c r="Q50" i="26"/>
  <c r="S50" i="26"/>
  <c r="P50" i="26"/>
  <c r="U32" i="26"/>
  <c r="T32" i="26"/>
  <c r="S71" i="26"/>
  <c r="Q71" i="26"/>
  <c r="P71" i="26"/>
  <c r="P43" i="26"/>
  <c r="S43" i="26"/>
  <c r="Q43" i="26"/>
  <c r="P65" i="26"/>
  <c r="S65" i="26"/>
  <c r="Q65" i="26"/>
  <c r="S60" i="26"/>
  <c r="Q60" i="26"/>
  <c r="P60" i="26"/>
  <c r="M66" i="26"/>
  <c r="O66" i="26"/>
  <c r="L66" i="26"/>
  <c r="T22" i="26"/>
  <c r="U22" i="26"/>
  <c r="O42" i="26"/>
  <c r="M42" i="26"/>
  <c r="L42" i="26"/>
  <c r="O30" i="26"/>
  <c r="M30" i="26"/>
  <c r="L30" i="26"/>
  <c r="U13" i="26"/>
  <c r="V13" i="26" s="1"/>
  <c r="T13" i="26"/>
  <c r="L35" i="26"/>
  <c r="N35" i="26" s="1"/>
  <c r="O35" i="26"/>
  <c r="M35" i="26"/>
  <c r="L61" i="26"/>
  <c r="O61" i="26"/>
  <c r="M61" i="26"/>
  <c r="N61" i="26" s="1"/>
  <c r="P69" i="26"/>
  <c r="S69" i="26"/>
  <c r="Q69" i="26"/>
  <c r="P19" i="26"/>
  <c r="S19" i="26"/>
  <c r="Q19" i="26"/>
  <c r="Q10" i="26"/>
  <c r="P10" i="26"/>
  <c r="S10" i="26"/>
  <c r="U48" i="26"/>
  <c r="T48" i="26"/>
  <c r="V48" i="26" s="1"/>
  <c r="O17" i="26"/>
  <c r="M17" i="26"/>
  <c r="L17" i="26"/>
  <c r="O62" i="26"/>
  <c r="M62" i="26"/>
  <c r="L62" i="26"/>
  <c r="P57" i="26"/>
  <c r="S57" i="26"/>
  <c r="Q57" i="26"/>
  <c r="U40" i="26"/>
  <c r="T40" i="26"/>
  <c r="Q74" i="26"/>
  <c r="S74" i="26"/>
  <c r="P74" i="26"/>
  <c r="S72" i="26"/>
  <c r="Q72" i="26"/>
  <c r="P72" i="26"/>
  <c r="P12" i="26"/>
  <c r="S12" i="26"/>
  <c r="Q12" i="26"/>
  <c r="M31" i="26"/>
  <c r="L31" i="26"/>
  <c r="O31" i="26"/>
  <c r="C18" i="4" l="1"/>
  <c r="C17" i="4"/>
  <c r="C33" i="4"/>
  <c r="C34" i="4"/>
  <c r="C22" i="4"/>
  <c r="C21" i="4"/>
  <c r="C38" i="4"/>
  <c r="C37" i="4"/>
  <c r="C9" i="4"/>
  <c r="C10" i="4"/>
  <c r="C25" i="4"/>
  <c r="C26" i="4"/>
  <c r="C41" i="4"/>
  <c r="C42" i="4"/>
  <c r="C14" i="4"/>
  <c r="C13" i="4"/>
  <c r="C30" i="4"/>
  <c r="C29" i="4"/>
  <c r="C45" i="4"/>
  <c r="C46" i="4"/>
  <c r="N44" i="26"/>
  <c r="N54" i="26"/>
  <c r="N31" i="26"/>
  <c r="V32" i="26"/>
  <c r="P68" i="26"/>
  <c r="Q68" i="26"/>
  <c r="S68" i="26"/>
  <c r="N39" i="26"/>
  <c r="S56" i="26"/>
  <c r="Q56" i="26"/>
  <c r="P56" i="26"/>
  <c r="R56" i="26" s="1"/>
  <c r="T21" i="26"/>
  <c r="V21" i="26" s="1"/>
  <c r="R57" i="26"/>
  <c r="N17" i="26"/>
  <c r="R65" i="26"/>
  <c r="R71" i="26"/>
  <c r="R26" i="26"/>
  <c r="R77" i="26"/>
  <c r="R55" i="26"/>
  <c r="N23" i="26"/>
  <c r="R33" i="26"/>
  <c r="N25" i="26"/>
  <c r="N47" i="26"/>
  <c r="R76" i="26"/>
  <c r="Q11" i="26"/>
  <c r="P11" i="26"/>
  <c r="R11" i="26" s="1"/>
  <c r="S11" i="26"/>
  <c r="S15" i="26"/>
  <c r="P15" i="26"/>
  <c r="Q15" i="26"/>
  <c r="N16" i="26"/>
  <c r="R12" i="26"/>
  <c r="N62" i="26"/>
  <c r="N42" i="26"/>
  <c r="R60" i="26"/>
  <c r="R43" i="26"/>
  <c r="N67" i="26"/>
  <c r="N36" i="26"/>
  <c r="N51" i="26"/>
  <c r="N14" i="26"/>
  <c r="V34" i="26"/>
  <c r="N53" i="26"/>
  <c r="N38" i="26"/>
  <c r="V70" i="26"/>
  <c r="N68" i="26"/>
  <c r="N56" i="26"/>
  <c r="S16" i="26"/>
  <c r="Q16" i="26"/>
  <c r="P16" i="26"/>
  <c r="H23" i="29"/>
  <c r="H31" i="29"/>
  <c r="H30" i="29"/>
  <c r="G28" i="29"/>
  <c r="C28" i="29"/>
  <c r="V37" i="26"/>
  <c r="H15" i="29"/>
  <c r="R74" i="26"/>
  <c r="R69" i="26"/>
  <c r="V22" i="26"/>
  <c r="R50" i="26"/>
  <c r="V63" i="26"/>
  <c r="R41" i="26"/>
  <c r="V49" i="26"/>
  <c r="R72" i="26"/>
  <c r="R10" i="26"/>
  <c r="R19" i="26"/>
  <c r="N30" i="26"/>
  <c r="N66" i="26"/>
  <c r="V75" i="26"/>
  <c r="V58" i="26"/>
  <c r="V40" i="26"/>
  <c r="R64" i="26"/>
  <c r="N73" i="26"/>
  <c r="D28" i="29"/>
  <c r="E28" i="29"/>
  <c r="H19" i="29"/>
  <c r="H11" i="29"/>
  <c r="F28" i="29"/>
  <c r="H27" i="29"/>
  <c r="S39" i="26"/>
  <c r="Q39" i="26"/>
  <c r="P39" i="26"/>
  <c r="P53" i="26"/>
  <c r="S53" i="26"/>
  <c r="Q53" i="26"/>
  <c r="U10" i="26"/>
  <c r="T10" i="26"/>
  <c r="S66" i="26"/>
  <c r="Q66" i="26"/>
  <c r="P66" i="26"/>
  <c r="T33" i="26"/>
  <c r="U33" i="26"/>
  <c r="Q47" i="26"/>
  <c r="P47" i="26"/>
  <c r="S47" i="26"/>
  <c r="S61" i="26"/>
  <c r="Q61" i="26"/>
  <c r="P61" i="26"/>
  <c r="R61" i="26" s="1"/>
  <c r="Q36" i="26"/>
  <c r="S36" i="26"/>
  <c r="P36" i="26"/>
  <c r="S30" i="26"/>
  <c r="Q30" i="26"/>
  <c r="P30" i="26"/>
  <c r="U50" i="26"/>
  <c r="T50" i="26"/>
  <c r="V50" i="26" s="1"/>
  <c r="Q14" i="26"/>
  <c r="P14" i="26"/>
  <c r="S14" i="26"/>
  <c r="U43" i="26"/>
  <c r="T43" i="26"/>
  <c r="V43" i="26" s="1"/>
  <c r="T69" i="26"/>
  <c r="U69" i="26"/>
  <c r="T65" i="26"/>
  <c r="U65" i="26"/>
  <c r="U44" i="26"/>
  <c r="T44" i="26"/>
  <c r="U46" i="26"/>
  <c r="T46" i="26"/>
  <c r="V46" i="26" s="1"/>
  <c r="P31" i="26"/>
  <c r="S31" i="26"/>
  <c r="Q31" i="26"/>
  <c r="U57" i="26"/>
  <c r="T57" i="26"/>
  <c r="T55" i="26"/>
  <c r="U55" i="26"/>
  <c r="U72" i="26"/>
  <c r="T72" i="26"/>
  <c r="P67" i="26"/>
  <c r="S67" i="26"/>
  <c r="Q67" i="26"/>
  <c r="U74" i="26"/>
  <c r="T74" i="26"/>
  <c r="Q62" i="26"/>
  <c r="P62" i="26"/>
  <c r="R62" i="26" s="1"/>
  <c r="S62" i="26"/>
  <c r="U64" i="26"/>
  <c r="T64" i="26"/>
  <c r="V64" i="26" s="1"/>
  <c r="S25" i="26"/>
  <c r="Q25" i="26"/>
  <c r="P25" i="26"/>
  <c r="R25" i="26" s="1"/>
  <c r="T12" i="26"/>
  <c r="V12" i="26" s="1"/>
  <c r="U12" i="26"/>
  <c r="U60" i="26"/>
  <c r="T60" i="26"/>
  <c r="V60" i="26" s="1"/>
  <c r="T77" i="26"/>
  <c r="U77" i="26"/>
  <c r="Q51" i="26"/>
  <c r="P51" i="26"/>
  <c r="R51" i="26" s="1"/>
  <c r="S51" i="26"/>
  <c r="S18" i="26"/>
  <c r="P18" i="26"/>
  <c r="Q18" i="26"/>
  <c r="S54" i="26"/>
  <c r="Q54" i="26"/>
  <c r="P54" i="26"/>
  <c r="R54" i="26" s="1"/>
  <c r="S23" i="26"/>
  <c r="P23" i="26"/>
  <c r="Q23" i="26"/>
  <c r="Q73" i="26"/>
  <c r="P73" i="26"/>
  <c r="R73" i="26" s="1"/>
  <c r="S73" i="26"/>
  <c r="T19" i="26"/>
  <c r="U19" i="26"/>
  <c r="S35" i="26"/>
  <c r="Q35" i="26"/>
  <c r="P35" i="26"/>
  <c r="S42" i="26"/>
  <c r="Q42" i="26"/>
  <c r="P42" i="26"/>
  <c r="P52" i="26"/>
  <c r="S52" i="26"/>
  <c r="Q52" i="26"/>
  <c r="S38" i="26"/>
  <c r="Q38" i="26"/>
  <c r="P38" i="26"/>
  <c r="R38" i="26" s="1"/>
  <c r="U71" i="26"/>
  <c r="T71" i="26"/>
  <c r="U26" i="26"/>
  <c r="T26" i="26"/>
  <c r="V26" i="26" s="1"/>
  <c r="T24" i="26"/>
  <c r="U24" i="26"/>
  <c r="P17" i="26"/>
  <c r="S17" i="26"/>
  <c r="Q17" i="26"/>
  <c r="T27" i="26"/>
  <c r="U27" i="26"/>
  <c r="P28" i="26"/>
  <c r="S28" i="26"/>
  <c r="Q28" i="26"/>
  <c r="T41" i="26"/>
  <c r="U41" i="26"/>
  <c r="U76" i="26"/>
  <c r="T76" i="26"/>
  <c r="C64" i="4" l="1"/>
  <c r="C19" i="4"/>
  <c r="C43" i="4"/>
  <c r="C11" i="4"/>
  <c r="C63" i="4"/>
  <c r="C27" i="4"/>
  <c r="C23" i="4"/>
  <c r="C35" i="4"/>
  <c r="C47" i="4"/>
  <c r="C15" i="4"/>
  <c r="C39" i="4"/>
  <c r="C31" i="4"/>
  <c r="V24" i="26"/>
  <c r="V69" i="26"/>
  <c r="R16" i="26"/>
  <c r="R15" i="26"/>
  <c r="R31" i="26"/>
  <c r="V10" i="26"/>
  <c r="U15" i="26"/>
  <c r="T15" i="26"/>
  <c r="V15" i="26" s="1"/>
  <c r="T68" i="26"/>
  <c r="V68" i="26" s="1"/>
  <c r="U68" i="26"/>
  <c r="R35" i="26"/>
  <c r="R23" i="26"/>
  <c r="V77" i="26"/>
  <c r="V74" i="26"/>
  <c r="T16" i="26"/>
  <c r="U16" i="26"/>
  <c r="U11" i="26"/>
  <c r="T11" i="26"/>
  <c r="U56" i="26"/>
  <c r="T56" i="26"/>
  <c r="R68" i="26"/>
  <c r="V44" i="26"/>
  <c r="R14" i="26"/>
  <c r="R30" i="26"/>
  <c r="R18" i="26"/>
  <c r="R67" i="26"/>
  <c r="V55" i="26"/>
  <c r="V65" i="26"/>
  <c r="V33" i="26"/>
  <c r="R53" i="26"/>
  <c r="V41" i="26"/>
  <c r="R17" i="26"/>
  <c r="V19" i="26"/>
  <c r="V27" i="26"/>
  <c r="V71" i="26"/>
  <c r="V72" i="26"/>
  <c r="V57" i="26"/>
  <c r="R36" i="26"/>
  <c r="R47" i="26"/>
  <c r="R66" i="26"/>
  <c r="R39" i="26"/>
  <c r="R52" i="26"/>
  <c r="R42" i="26"/>
  <c r="R28" i="26"/>
  <c r="H28" i="29"/>
  <c r="V76" i="26"/>
  <c r="T38" i="26"/>
  <c r="U38" i="26"/>
  <c r="V38" i="26" s="1"/>
  <c r="T25" i="26"/>
  <c r="U25" i="26"/>
  <c r="T61" i="26"/>
  <c r="U61" i="26"/>
  <c r="U47" i="26"/>
  <c r="T47" i="26"/>
  <c r="T28" i="26"/>
  <c r="U28" i="26"/>
  <c r="V28" i="26" s="1"/>
  <c r="U52" i="26"/>
  <c r="T52" i="26"/>
  <c r="U54" i="26"/>
  <c r="T54" i="26"/>
  <c r="T73" i="26"/>
  <c r="U73" i="26"/>
  <c r="U62" i="26"/>
  <c r="T62" i="26"/>
  <c r="U30" i="26"/>
  <c r="T30" i="26"/>
  <c r="T53" i="26"/>
  <c r="U53" i="26"/>
  <c r="T35" i="26"/>
  <c r="U35" i="26"/>
  <c r="T67" i="26"/>
  <c r="U67" i="26"/>
  <c r="U66" i="26"/>
  <c r="V66" i="26" s="1"/>
  <c r="T66" i="26"/>
  <c r="U31" i="26"/>
  <c r="T31" i="26"/>
  <c r="V31" i="26" s="1"/>
  <c r="U18" i="26"/>
  <c r="T18" i="26"/>
  <c r="U42" i="26"/>
  <c r="T42" i="26"/>
  <c r="V42" i="26" s="1"/>
  <c r="T51" i="26"/>
  <c r="U51" i="26"/>
  <c r="U14" i="26"/>
  <c r="T14" i="26"/>
  <c r="V14" i="26" s="1"/>
  <c r="T36" i="26"/>
  <c r="V36" i="26" s="1"/>
  <c r="U36" i="26"/>
  <c r="T17" i="26"/>
  <c r="U17" i="26"/>
  <c r="T39" i="26"/>
  <c r="V39" i="26" s="1"/>
  <c r="U39" i="26"/>
  <c r="U23" i="26"/>
  <c r="T23" i="26"/>
  <c r="V23" i="26" s="1"/>
  <c r="C48" i="4" l="1"/>
  <c r="V56" i="26"/>
  <c r="V16" i="26"/>
  <c r="V30" i="26"/>
  <c r="V52" i="26"/>
  <c r="V47" i="26"/>
  <c r="V11" i="26"/>
  <c r="V51" i="26"/>
  <c r="V61" i="26"/>
  <c r="V73" i="26"/>
  <c r="V35" i="26"/>
  <c r="V18" i="26"/>
  <c r="V62" i="26"/>
  <c r="V54" i="26"/>
  <c r="V17" i="26"/>
  <c r="V67" i="26"/>
  <c r="V53" i="26"/>
  <c r="V25" i="26"/>
  <c r="I13" i="37" l="1"/>
  <c r="F13" i="37"/>
  <c r="H13" i="37"/>
  <c r="E13" i="37"/>
  <c r="G13" i="37"/>
  <c r="D13" i="37" l="1"/>
  <c r="B97" i="30"/>
  <c r="F97" i="30" s="1"/>
  <c r="B89" i="30"/>
  <c r="F89" i="30" s="1"/>
  <c r="B81" i="30"/>
  <c r="F81" i="30" s="1"/>
  <c r="B74" i="30"/>
  <c r="F74" i="30" s="1"/>
  <c r="B67" i="30"/>
  <c r="F67" i="30" s="1"/>
  <c r="G15" i="37" l="1"/>
  <c r="H10" i="37"/>
  <c r="G10" i="37"/>
  <c r="I11" i="37"/>
  <c r="F15" i="37"/>
  <c r="I10" i="37"/>
  <c r="I15" i="37"/>
  <c r="H11" i="37"/>
  <c r="H15" i="37"/>
  <c r="F11" i="37"/>
  <c r="E10" i="37"/>
  <c r="E11" i="37"/>
  <c r="G11" i="37"/>
  <c r="F10" i="37"/>
  <c r="E15" i="37"/>
  <c r="D11" i="37" l="1"/>
  <c r="D15" i="37"/>
  <c r="D10" i="37"/>
  <c r="Y56" i="4" l="1"/>
  <c r="Y54" i="4"/>
  <c r="Y52" i="4"/>
  <c r="Y50" i="4"/>
  <c r="B113" i="4"/>
  <c r="B107" i="4"/>
  <c r="V56" i="4"/>
  <c r="V54" i="4"/>
  <c r="V52" i="4"/>
  <c r="V50" i="4"/>
  <c r="M56" i="4"/>
  <c r="M54" i="4"/>
  <c r="M52" i="4"/>
  <c r="M50" i="4"/>
  <c r="K2" i="1"/>
  <c r="B101" i="4"/>
  <c r="B88" i="29" l="1"/>
  <c r="F88" i="29" s="1"/>
  <c r="B80" i="29"/>
  <c r="F80" i="29" s="1"/>
  <c r="B72" i="29"/>
  <c r="F72" i="29" s="1"/>
  <c r="B65" i="29"/>
  <c r="F65" i="29" s="1"/>
  <c r="B58" i="29"/>
  <c r="F58" i="29" s="1"/>
  <c r="AF7" i="28"/>
  <c r="AE7" i="28"/>
  <c r="Z24" i="28"/>
  <c r="Z20" i="28"/>
  <c r="Z16" i="28"/>
  <c r="Z12" i="28"/>
  <c r="AC24" i="28"/>
  <c r="AC20" i="28"/>
  <c r="AC16" i="28"/>
  <c r="AC12" i="28"/>
  <c r="W24" i="28"/>
  <c r="W20" i="28"/>
  <c r="W16" i="28"/>
  <c r="W12" i="28"/>
  <c r="T24" i="28"/>
  <c r="T20" i="28"/>
  <c r="T16" i="28"/>
  <c r="T12" i="28"/>
  <c r="Q24" i="28"/>
  <c r="Q20" i="28"/>
  <c r="Q16" i="28"/>
  <c r="Q12" i="28"/>
  <c r="I17" i="37"/>
  <c r="H17" i="37"/>
  <c r="G17" i="37"/>
  <c r="F17" i="37"/>
  <c r="E17" i="37"/>
  <c r="B8" i="28"/>
  <c r="Y8" i="28" s="1"/>
  <c r="E19" i="30"/>
  <c r="D19" i="30"/>
  <c r="C17" i="36"/>
  <c r="D17" i="36"/>
  <c r="E17" i="36"/>
  <c r="F17" i="36"/>
  <c r="B17" i="36"/>
  <c r="D35" i="30"/>
  <c r="E35" i="30"/>
  <c r="F35" i="30"/>
  <c r="D31" i="30"/>
  <c r="E31" i="30"/>
  <c r="F31" i="30"/>
  <c r="D27" i="30"/>
  <c r="E27" i="30"/>
  <c r="F27" i="30"/>
  <c r="D23" i="30"/>
  <c r="E23" i="30"/>
  <c r="F23" i="30"/>
  <c r="G23" i="30" s="1"/>
  <c r="F19" i="30"/>
  <c r="E19" i="36"/>
  <c r="B16" i="36"/>
  <c r="C16" i="36"/>
  <c r="D16" i="36"/>
  <c r="E16" i="36"/>
  <c r="F16" i="36"/>
  <c r="E21" i="36"/>
  <c r="F9" i="37"/>
  <c r="G9" i="37"/>
  <c r="D21" i="36"/>
  <c r="H9" i="37"/>
  <c r="E9" i="37"/>
  <c r="B21" i="36"/>
  <c r="B35" i="30"/>
  <c r="B31" i="30"/>
  <c r="B27" i="30"/>
  <c r="B23" i="30"/>
  <c r="B19" i="30"/>
  <c r="K8" i="30"/>
  <c r="B51" i="30"/>
  <c r="B50" i="30"/>
  <c r="B49" i="30"/>
  <c r="B48" i="30"/>
  <c r="B47" i="30"/>
  <c r="B41" i="29"/>
  <c r="B40" i="29"/>
  <c r="B39" i="29"/>
  <c r="B38" i="29"/>
  <c r="B37" i="29"/>
  <c r="D35" i="29"/>
  <c r="C42" i="28"/>
  <c r="C41" i="28"/>
  <c r="C40" i="28"/>
  <c r="C39" i="28"/>
  <c r="C38" i="28"/>
  <c r="E36" i="28"/>
  <c r="D69" i="4"/>
  <c r="C6" i="3"/>
  <c r="D6" i="3" s="1"/>
  <c r="E6" i="3" s="1"/>
  <c r="F6" i="3" s="1"/>
  <c r="F13" i="3"/>
  <c r="C16" i="3"/>
  <c r="D16" i="3" s="1"/>
  <c r="E16" i="3" s="1"/>
  <c r="F16" i="3" s="1"/>
  <c r="B20" i="3"/>
  <c r="C20" i="3" s="1"/>
  <c r="D20" i="3" s="1"/>
  <c r="E20" i="3" s="1"/>
  <c r="F20" i="3" s="1"/>
  <c r="B19" i="3"/>
  <c r="C19" i="3" s="1"/>
  <c r="D19" i="3" s="1"/>
  <c r="E19" i="3" s="1"/>
  <c r="F19" i="3" s="1"/>
  <c r="B18" i="3"/>
  <c r="C18" i="3" s="1"/>
  <c r="D18" i="3" s="1"/>
  <c r="E18" i="3" s="1"/>
  <c r="F18" i="3" s="1"/>
  <c r="B17" i="3"/>
  <c r="C17" i="3" s="1"/>
  <c r="D17" i="3" s="1"/>
  <c r="E17" i="3" s="1"/>
  <c r="F17" i="3" s="1"/>
  <c r="B16" i="3"/>
  <c r="B15" i="3"/>
  <c r="C15" i="3" s="1"/>
  <c r="D15" i="3" s="1"/>
  <c r="E15" i="3" s="1"/>
  <c r="F15" i="3" s="1"/>
  <c r="B14" i="3"/>
  <c r="C14" i="3" s="1"/>
  <c r="D14" i="3" s="1"/>
  <c r="E14" i="3" s="1"/>
  <c r="F14" i="3" s="1"/>
  <c r="B13" i="3"/>
  <c r="C13" i="3" s="1"/>
  <c r="D13" i="3" s="1"/>
  <c r="E13" i="3" s="1"/>
  <c r="B12" i="3"/>
  <c r="C12" i="3" s="1"/>
  <c r="D12" i="3" s="1"/>
  <c r="E12" i="3" s="1"/>
  <c r="F12" i="3" s="1"/>
  <c r="B11" i="3"/>
  <c r="C11" i="3" s="1"/>
  <c r="D11" i="3" s="1"/>
  <c r="E11" i="3" s="1"/>
  <c r="F11" i="3" s="1"/>
  <c r="B10" i="3"/>
  <c r="C10" i="3" s="1"/>
  <c r="D10" i="3" s="1"/>
  <c r="E10" i="3" s="1"/>
  <c r="F10" i="3" s="1"/>
  <c r="B9" i="3"/>
  <c r="C9" i="3" s="1"/>
  <c r="D9" i="3" s="1"/>
  <c r="E9" i="3" s="1"/>
  <c r="F9" i="3" s="1"/>
  <c r="G132" i="26"/>
  <c r="H132" i="26" s="1"/>
  <c r="G108" i="26"/>
  <c r="G88" i="26"/>
  <c r="K88" i="26" s="1"/>
  <c r="L88" i="26" s="1"/>
  <c r="J78" i="26"/>
  <c r="N78" i="26"/>
  <c r="R78" i="26"/>
  <c r="V78" i="26"/>
  <c r="J79" i="26"/>
  <c r="N79" i="26"/>
  <c r="R79" i="26"/>
  <c r="V79" i="26"/>
  <c r="D80" i="26"/>
  <c r="E80" i="26"/>
  <c r="G80" i="26"/>
  <c r="H80" i="26" s="1"/>
  <c r="D81" i="26"/>
  <c r="E81" i="26"/>
  <c r="G81" i="26"/>
  <c r="D82" i="26"/>
  <c r="E82" i="26"/>
  <c r="G82" i="26"/>
  <c r="I82" i="26" s="1"/>
  <c r="D83" i="26"/>
  <c r="E83" i="26"/>
  <c r="G83" i="26"/>
  <c r="D84" i="26"/>
  <c r="E84" i="26"/>
  <c r="G84" i="26"/>
  <c r="K84" i="26"/>
  <c r="L84" i="26" s="1"/>
  <c r="D85" i="26"/>
  <c r="E85" i="26"/>
  <c r="G85" i="26"/>
  <c r="H85" i="26" s="1"/>
  <c r="D86" i="26"/>
  <c r="E86" i="26"/>
  <c r="G86" i="26"/>
  <c r="D87" i="26"/>
  <c r="E87" i="26"/>
  <c r="G87" i="26"/>
  <c r="K87" i="26" s="1"/>
  <c r="D88" i="26"/>
  <c r="E88" i="26"/>
  <c r="D98" i="26"/>
  <c r="E98" i="26"/>
  <c r="G98" i="26"/>
  <c r="I98" i="26" s="1"/>
  <c r="D99" i="26"/>
  <c r="E99" i="26"/>
  <c r="G99" i="26"/>
  <c r="K99" i="26" s="1"/>
  <c r="M99" i="26" s="1"/>
  <c r="D100" i="26"/>
  <c r="E100" i="26"/>
  <c r="G100" i="26"/>
  <c r="H100" i="26" s="1"/>
  <c r="D101" i="26"/>
  <c r="E101" i="26"/>
  <c r="G101" i="26"/>
  <c r="H101" i="26" s="1"/>
  <c r="D102" i="26"/>
  <c r="E102" i="26"/>
  <c r="G102" i="26"/>
  <c r="D103" i="26"/>
  <c r="E103" i="26"/>
  <c r="G103" i="26"/>
  <c r="I103" i="26" s="1"/>
  <c r="D104" i="26"/>
  <c r="E104" i="26"/>
  <c r="G104" i="26"/>
  <c r="D105" i="26"/>
  <c r="E105" i="26"/>
  <c r="G105" i="26"/>
  <c r="D106" i="26"/>
  <c r="E106" i="26"/>
  <c r="G106" i="26"/>
  <c r="D107" i="26"/>
  <c r="E107" i="26"/>
  <c r="G107" i="26"/>
  <c r="K107" i="26" s="1"/>
  <c r="M107" i="26" s="1"/>
  <c r="D108" i="26"/>
  <c r="E108" i="26"/>
  <c r="D120" i="26"/>
  <c r="E120" i="26"/>
  <c r="G120" i="26"/>
  <c r="D121" i="26"/>
  <c r="E121" i="26"/>
  <c r="G121" i="26"/>
  <c r="D122" i="26"/>
  <c r="E122" i="26"/>
  <c r="F122" i="26" s="1"/>
  <c r="G122" i="26"/>
  <c r="K122" i="26" s="1"/>
  <c r="O122" i="26" s="1"/>
  <c r="D123" i="26"/>
  <c r="E123" i="26"/>
  <c r="G123" i="26"/>
  <c r="K123" i="26" s="1"/>
  <c r="D124" i="26"/>
  <c r="E124" i="26"/>
  <c r="G124" i="26"/>
  <c r="H124" i="26" s="1"/>
  <c r="I124" i="26"/>
  <c r="D125" i="26"/>
  <c r="E125" i="26"/>
  <c r="G125" i="26"/>
  <c r="I125" i="26" s="1"/>
  <c r="D126" i="26"/>
  <c r="E126" i="26"/>
  <c r="G126" i="26"/>
  <c r="D127" i="26"/>
  <c r="E127" i="26"/>
  <c r="G127" i="26"/>
  <c r="K127" i="26" s="1"/>
  <c r="D128" i="26"/>
  <c r="E128" i="26"/>
  <c r="G128" i="26"/>
  <c r="D129" i="26"/>
  <c r="E129" i="26"/>
  <c r="G129" i="26"/>
  <c r="H129" i="26" s="1"/>
  <c r="D130" i="26"/>
  <c r="E130" i="26"/>
  <c r="G130" i="26"/>
  <c r="H130" i="26" s="1"/>
  <c r="D131" i="26"/>
  <c r="E131" i="26"/>
  <c r="G131" i="26"/>
  <c r="K131" i="26" s="1"/>
  <c r="D132" i="26"/>
  <c r="E132" i="26"/>
  <c r="I104" i="26"/>
  <c r="K100" i="26"/>
  <c r="L100" i="26" s="1"/>
  <c r="K83" i="26"/>
  <c r="O83" i="26" s="1"/>
  <c r="S83" i="26" s="1"/>
  <c r="I80" i="26"/>
  <c r="I100" i="26"/>
  <c r="O123" i="26"/>
  <c r="Q123" i="26" s="1"/>
  <c r="W23" i="26"/>
  <c r="X23" i="26"/>
  <c r="X67" i="26"/>
  <c r="X13" i="26"/>
  <c r="X51" i="26"/>
  <c r="X22" i="26"/>
  <c r="X52" i="26"/>
  <c r="X66" i="26"/>
  <c r="X26" i="26"/>
  <c r="W67" i="26"/>
  <c r="X14" i="26"/>
  <c r="W13" i="26"/>
  <c r="X25" i="26"/>
  <c r="W51" i="26"/>
  <c r="W26" i="26"/>
  <c r="X65" i="26"/>
  <c r="W48" i="26"/>
  <c r="X62" i="26"/>
  <c r="U83" i="26"/>
  <c r="W52" i="26"/>
  <c r="X70" i="26"/>
  <c r="X34" i="26"/>
  <c r="W25" i="26"/>
  <c r="W14" i="26"/>
  <c r="W70" i="26"/>
  <c r="W22" i="26"/>
  <c r="X10" i="26"/>
  <c r="W63" i="26"/>
  <c r="W35" i="26"/>
  <c r="W38" i="26"/>
  <c r="X11" i="26"/>
  <c r="X48" i="26"/>
  <c r="W62" i="26"/>
  <c r="W50" i="26"/>
  <c r="W65" i="26"/>
  <c r="W66" i="26"/>
  <c r="W49" i="26"/>
  <c r="W12" i="26"/>
  <c r="W69" i="26"/>
  <c r="X39" i="26"/>
  <c r="W34" i="26"/>
  <c r="X64" i="26"/>
  <c r="W68" i="26"/>
  <c r="X53" i="26"/>
  <c r="W37" i="26"/>
  <c r="W40" i="26"/>
  <c r="X24" i="26"/>
  <c r="W15" i="26"/>
  <c r="X54" i="26"/>
  <c r="W54" i="26"/>
  <c r="W39" i="26"/>
  <c r="X63" i="26"/>
  <c r="X68" i="26"/>
  <c r="W11" i="26"/>
  <c r="W10" i="26"/>
  <c r="W64" i="26"/>
  <c r="X35" i="26"/>
  <c r="X38" i="26"/>
  <c r="X49" i="26"/>
  <c r="X50" i="26"/>
  <c r="W24" i="26"/>
  <c r="X69" i="26"/>
  <c r="X12" i="26"/>
  <c r="X15" i="26"/>
  <c r="X40" i="26"/>
  <c r="W53" i="26"/>
  <c r="X37" i="26"/>
  <c r="W27" i="26"/>
  <c r="X27" i="26"/>
  <c r="X36" i="26"/>
  <c r="W36" i="26"/>
  <c r="G60" i="1"/>
  <c r="G132" i="24"/>
  <c r="K132" i="24" s="1"/>
  <c r="E132" i="24"/>
  <c r="D132" i="24"/>
  <c r="G131" i="24"/>
  <c r="K131" i="24" s="1"/>
  <c r="E131" i="24"/>
  <c r="D131" i="24"/>
  <c r="G130" i="24"/>
  <c r="E130" i="24"/>
  <c r="D130" i="24"/>
  <c r="G129" i="24"/>
  <c r="I129" i="24" s="1"/>
  <c r="E129" i="24"/>
  <c r="D129" i="24"/>
  <c r="F129" i="24" s="1"/>
  <c r="G128" i="24"/>
  <c r="E128" i="24"/>
  <c r="D128" i="24"/>
  <c r="G127" i="24"/>
  <c r="H127" i="24" s="1"/>
  <c r="E127" i="24"/>
  <c r="D127" i="24"/>
  <c r="F127" i="24" s="1"/>
  <c r="G126" i="24"/>
  <c r="K126" i="24" s="1"/>
  <c r="O126" i="24" s="1"/>
  <c r="E126" i="24"/>
  <c r="D126" i="24"/>
  <c r="G125" i="24"/>
  <c r="I125" i="24" s="1"/>
  <c r="E125" i="24"/>
  <c r="D125" i="24"/>
  <c r="G124" i="24"/>
  <c r="I124" i="24" s="1"/>
  <c r="E124" i="24"/>
  <c r="D124" i="24"/>
  <c r="G123" i="24"/>
  <c r="K123" i="24" s="1"/>
  <c r="L123" i="24" s="1"/>
  <c r="E123" i="24"/>
  <c r="D123" i="24"/>
  <c r="F123" i="24" s="1"/>
  <c r="G122" i="24"/>
  <c r="E122" i="24"/>
  <c r="D122" i="24"/>
  <c r="F122" i="24" s="1"/>
  <c r="G121" i="24"/>
  <c r="I121" i="24" s="1"/>
  <c r="E121" i="24"/>
  <c r="D121" i="24"/>
  <c r="F121" i="24" s="1"/>
  <c r="G120" i="24"/>
  <c r="E120" i="24"/>
  <c r="D120" i="24"/>
  <c r="G119" i="24"/>
  <c r="I119" i="24" s="1"/>
  <c r="E119" i="24"/>
  <c r="F119" i="24" s="1"/>
  <c r="D119" i="24"/>
  <c r="G111" i="24"/>
  <c r="K111" i="24"/>
  <c r="L111" i="24" s="1"/>
  <c r="E111" i="24"/>
  <c r="D111" i="24"/>
  <c r="G110" i="24"/>
  <c r="K110" i="24" s="1"/>
  <c r="M110" i="24" s="1"/>
  <c r="E110" i="24"/>
  <c r="D110" i="24"/>
  <c r="F110" i="24" s="1"/>
  <c r="G109" i="24"/>
  <c r="I109" i="24" s="1"/>
  <c r="E109" i="24"/>
  <c r="D109" i="24"/>
  <c r="G108" i="24"/>
  <c r="E108" i="24"/>
  <c r="D108" i="24"/>
  <c r="G107" i="24"/>
  <c r="I107" i="24" s="1"/>
  <c r="E107" i="24"/>
  <c r="D107" i="24"/>
  <c r="G106" i="24"/>
  <c r="I106" i="24" s="1"/>
  <c r="E106" i="24"/>
  <c r="D106" i="24"/>
  <c r="F106" i="24" s="1"/>
  <c r="G105" i="24"/>
  <c r="K105" i="24" s="1"/>
  <c r="E105" i="24"/>
  <c r="D105" i="24"/>
  <c r="G97" i="24"/>
  <c r="H97" i="24" s="1"/>
  <c r="E97" i="24"/>
  <c r="D97" i="24"/>
  <c r="G96" i="24"/>
  <c r="H96" i="24" s="1"/>
  <c r="E96" i="24"/>
  <c r="D96" i="24"/>
  <c r="G95" i="24"/>
  <c r="K95" i="24" s="1"/>
  <c r="E95" i="24"/>
  <c r="D95" i="24"/>
  <c r="G94" i="24"/>
  <c r="E94" i="24"/>
  <c r="D94" i="24"/>
  <c r="G93" i="24"/>
  <c r="K93" i="24" s="1"/>
  <c r="E93" i="24"/>
  <c r="D93" i="24"/>
  <c r="G92" i="24"/>
  <c r="I92" i="24"/>
  <c r="E92" i="24"/>
  <c r="D92" i="24"/>
  <c r="G91" i="24"/>
  <c r="I91" i="24" s="1"/>
  <c r="E91" i="24"/>
  <c r="D91" i="24"/>
  <c r="G82" i="24"/>
  <c r="K82" i="24" s="1"/>
  <c r="E82" i="24"/>
  <c r="D82" i="24"/>
  <c r="F82" i="24" s="1"/>
  <c r="G81" i="24"/>
  <c r="E81" i="24"/>
  <c r="D81" i="24"/>
  <c r="G80" i="24"/>
  <c r="K80" i="24" s="1"/>
  <c r="L80" i="24" s="1"/>
  <c r="E80" i="24"/>
  <c r="D80" i="24"/>
  <c r="G79" i="24"/>
  <c r="K79" i="24" s="1"/>
  <c r="E79" i="24"/>
  <c r="D79" i="24"/>
  <c r="G78" i="24"/>
  <c r="K78" i="24" s="1"/>
  <c r="M78" i="24" s="1"/>
  <c r="I78" i="24"/>
  <c r="G77" i="24"/>
  <c r="G76" i="24"/>
  <c r="H76" i="24" s="1"/>
  <c r="G75" i="24"/>
  <c r="H75" i="24" s="1"/>
  <c r="G66" i="24"/>
  <c r="K66" i="24" s="1"/>
  <c r="G65" i="24"/>
  <c r="G64" i="24"/>
  <c r="G63" i="24"/>
  <c r="G62" i="24"/>
  <c r="G61" i="24"/>
  <c r="H61" i="24" s="1"/>
  <c r="G60" i="24"/>
  <c r="K60" i="24" s="1"/>
  <c r="L60" i="24" s="1"/>
  <c r="G59" i="24"/>
  <c r="H59" i="24" s="1"/>
  <c r="G52" i="24"/>
  <c r="H52" i="24" s="1"/>
  <c r="G51" i="24"/>
  <c r="G50" i="24"/>
  <c r="H50" i="24" s="1"/>
  <c r="G49" i="24"/>
  <c r="H49" i="24" s="1"/>
  <c r="G48" i="24"/>
  <c r="I48" i="24" s="1"/>
  <c r="G47" i="24"/>
  <c r="G40" i="24"/>
  <c r="K40" i="24" s="1"/>
  <c r="G39" i="24"/>
  <c r="H39" i="24" s="1"/>
  <c r="K39" i="24"/>
  <c r="G38" i="24"/>
  <c r="K38" i="24" s="1"/>
  <c r="G37" i="24"/>
  <c r="I37" i="24" s="1"/>
  <c r="G36" i="24"/>
  <c r="I36" i="24" s="1"/>
  <c r="G35" i="24"/>
  <c r="G28" i="24"/>
  <c r="K28" i="24" s="1"/>
  <c r="L28" i="24" s="1"/>
  <c r="G27" i="24"/>
  <c r="K27" i="24" s="1"/>
  <c r="L27" i="24" s="1"/>
  <c r="G26" i="24"/>
  <c r="H26" i="24" s="1"/>
  <c r="G25" i="24"/>
  <c r="H25" i="24" s="1"/>
  <c r="G24" i="24"/>
  <c r="K24" i="24" s="1"/>
  <c r="L24" i="24" s="1"/>
  <c r="G23" i="24"/>
  <c r="K23" i="24" s="1"/>
  <c r="L23" i="24" s="1"/>
  <c r="G16" i="24"/>
  <c r="I16" i="24" s="1"/>
  <c r="G15" i="24"/>
  <c r="K15" i="24" s="1"/>
  <c r="G14" i="24"/>
  <c r="H14" i="24" s="1"/>
  <c r="K14" i="24"/>
  <c r="O14" i="24" s="1"/>
  <c r="G13" i="24"/>
  <c r="I13" i="24" s="1"/>
  <c r="G12" i="24"/>
  <c r="I12" i="24" s="1"/>
  <c r="G11" i="24"/>
  <c r="H11" i="24" s="1"/>
  <c r="D20" i="28"/>
  <c r="D24" i="28"/>
  <c r="K12" i="24"/>
  <c r="I49" i="24"/>
  <c r="H78" i="24"/>
  <c r="H24" i="24"/>
  <c r="H91" i="24"/>
  <c r="H106" i="24"/>
  <c r="J106" i="24" s="1"/>
  <c r="H110" i="24"/>
  <c r="I110" i="24"/>
  <c r="I12" i="37"/>
  <c r="U56" i="4"/>
  <c r="U54" i="4"/>
  <c r="U52" i="4"/>
  <c r="O56" i="4"/>
  <c r="O54" i="4"/>
  <c r="O52" i="4"/>
  <c r="B13" i="19"/>
  <c r="A18" i="36"/>
  <c r="G16" i="36"/>
  <c r="B72" i="4"/>
  <c r="B73" i="4"/>
  <c r="B74" i="4"/>
  <c r="B75" i="4"/>
  <c r="B71" i="4"/>
  <c r="C49" i="4"/>
  <c r="K57" i="1"/>
  <c r="L57" i="1" s="1"/>
  <c r="K49" i="1"/>
  <c r="L49" i="1" s="1"/>
  <c r="K41" i="1"/>
  <c r="O42" i="1" s="1"/>
  <c r="K33" i="1"/>
  <c r="L33" i="1" s="1"/>
  <c r="K23" i="1"/>
  <c r="O24" i="1" s="1"/>
  <c r="P24" i="1" s="1"/>
  <c r="O50" i="1"/>
  <c r="S42" i="1"/>
  <c r="U42" i="1" s="1"/>
  <c r="G12" i="37"/>
  <c r="D19" i="36"/>
  <c r="H12" i="37"/>
  <c r="E12" i="37"/>
  <c r="F12" i="37"/>
  <c r="K11" i="1"/>
  <c r="L11" i="1" s="1"/>
  <c r="K12" i="1"/>
  <c r="K13" i="1"/>
  <c r="K14" i="1"/>
  <c r="L14" i="1" s="1"/>
  <c r="K15" i="1"/>
  <c r="K16" i="1"/>
  <c r="M16" i="1" s="1"/>
  <c r="K17" i="1"/>
  <c r="L17" i="1" s="1"/>
  <c r="K18" i="1"/>
  <c r="M18" i="1" s="1"/>
  <c r="K19" i="1"/>
  <c r="L19" i="1" s="1"/>
  <c r="K20" i="1"/>
  <c r="L20" i="1" s="1"/>
  <c r="K21" i="1"/>
  <c r="O21" i="1" s="1"/>
  <c r="K22" i="1"/>
  <c r="K27" i="1"/>
  <c r="K28" i="1"/>
  <c r="M28" i="1" s="1"/>
  <c r="K29" i="1"/>
  <c r="L29" i="1" s="1"/>
  <c r="K30" i="1"/>
  <c r="K31" i="1"/>
  <c r="M31" i="1" s="1"/>
  <c r="K32" i="1"/>
  <c r="K37" i="1"/>
  <c r="K38" i="1"/>
  <c r="L38" i="1" s="1"/>
  <c r="K39" i="1"/>
  <c r="L39" i="1" s="1"/>
  <c r="K40" i="1"/>
  <c r="M40" i="1" s="1"/>
  <c r="K45" i="1"/>
  <c r="K46" i="1"/>
  <c r="O46" i="1" s="1"/>
  <c r="K47" i="1"/>
  <c r="M47" i="1" s="1"/>
  <c r="K48" i="1"/>
  <c r="K53" i="1"/>
  <c r="M53" i="1" s="1"/>
  <c r="K54" i="1"/>
  <c r="L54" i="1" s="1"/>
  <c r="K55" i="1"/>
  <c r="O55" i="1" s="1"/>
  <c r="S55" i="1" s="1"/>
  <c r="T55" i="1" s="1"/>
  <c r="K56" i="1"/>
  <c r="O56" i="1" s="1"/>
  <c r="K10" i="1"/>
  <c r="M10" i="1" s="1"/>
  <c r="G10" i="2"/>
  <c r="H10" i="2" s="1"/>
  <c r="K10" i="2"/>
  <c r="G11" i="2"/>
  <c r="K11" i="2"/>
  <c r="O11" i="2" s="1"/>
  <c r="S11" i="2" s="1"/>
  <c r="U11" i="2" s="1"/>
  <c r="G12" i="2"/>
  <c r="G13" i="2"/>
  <c r="H13" i="2" s="1"/>
  <c r="G14" i="2"/>
  <c r="H14" i="2" s="1"/>
  <c r="K14" i="2"/>
  <c r="G15" i="2"/>
  <c r="H15" i="2" s="1"/>
  <c r="G16" i="2"/>
  <c r="G17" i="2"/>
  <c r="I17" i="2" s="1"/>
  <c r="G18" i="2"/>
  <c r="K18" i="2"/>
  <c r="O18" i="2"/>
  <c r="S18" i="2" s="1"/>
  <c r="G19" i="2"/>
  <c r="G20" i="2"/>
  <c r="K20" i="2" s="1"/>
  <c r="G21" i="2"/>
  <c r="I21" i="2"/>
  <c r="G22" i="2"/>
  <c r="G23" i="2"/>
  <c r="K23" i="2"/>
  <c r="M23" i="2" s="1"/>
  <c r="G24" i="2"/>
  <c r="G25" i="2"/>
  <c r="I25" i="2"/>
  <c r="G26" i="2"/>
  <c r="K26" i="2" s="1"/>
  <c r="G27" i="2"/>
  <c r="G28" i="2"/>
  <c r="K28" i="2"/>
  <c r="M28" i="2" s="1"/>
  <c r="O28" i="2"/>
  <c r="S28" i="2" s="1"/>
  <c r="G29" i="2"/>
  <c r="G30" i="2"/>
  <c r="K30" i="2" s="1"/>
  <c r="G31" i="2"/>
  <c r="G32" i="2"/>
  <c r="G33" i="2"/>
  <c r="G34" i="2"/>
  <c r="I34" i="2" s="1"/>
  <c r="G35" i="2"/>
  <c r="K35" i="2" s="1"/>
  <c r="G36" i="2"/>
  <c r="I36" i="2" s="1"/>
  <c r="K36" i="2"/>
  <c r="G37" i="2"/>
  <c r="I37" i="2" s="1"/>
  <c r="G38" i="2"/>
  <c r="K38" i="2"/>
  <c r="O38" i="2" s="1"/>
  <c r="S38" i="2" s="1"/>
  <c r="U38" i="2" s="1"/>
  <c r="G39" i="2"/>
  <c r="K39" i="2" s="1"/>
  <c r="G40" i="2"/>
  <c r="G41" i="2"/>
  <c r="G42" i="2"/>
  <c r="G43" i="2"/>
  <c r="K43" i="2" s="1"/>
  <c r="L43" i="2" s="1"/>
  <c r="G44" i="2"/>
  <c r="G45" i="2"/>
  <c r="I45" i="2" s="1"/>
  <c r="G46" i="2"/>
  <c r="K46" i="2"/>
  <c r="L46" i="2" s="1"/>
  <c r="G47" i="2"/>
  <c r="K47" i="2" s="1"/>
  <c r="O47" i="2" s="1"/>
  <c r="G48" i="2"/>
  <c r="K48" i="2"/>
  <c r="G49" i="2"/>
  <c r="I49" i="2"/>
  <c r="G50" i="2"/>
  <c r="H50" i="2" s="1"/>
  <c r="G51" i="2"/>
  <c r="G52" i="2"/>
  <c r="K52" i="2" s="1"/>
  <c r="L52" i="2" s="1"/>
  <c r="G53" i="2"/>
  <c r="G54" i="2"/>
  <c r="K54" i="2" s="1"/>
  <c r="G55" i="2"/>
  <c r="I55" i="2" s="1"/>
  <c r="K55" i="2"/>
  <c r="G56" i="2"/>
  <c r="K56" i="2" s="1"/>
  <c r="G57" i="2"/>
  <c r="I57" i="2"/>
  <c r="G58" i="2"/>
  <c r="G59" i="2"/>
  <c r="G60" i="2"/>
  <c r="K60" i="2"/>
  <c r="G61" i="2"/>
  <c r="H61" i="2" s="1"/>
  <c r="G62" i="2"/>
  <c r="K62" i="2"/>
  <c r="M62" i="2" s="1"/>
  <c r="L62" i="2"/>
  <c r="G63" i="2"/>
  <c r="G64" i="2"/>
  <c r="I64" i="2" s="1"/>
  <c r="K64" i="2"/>
  <c r="M64" i="2" s="1"/>
  <c r="G65" i="2"/>
  <c r="G66" i="2"/>
  <c r="G67" i="2"/>
  <c r="K67" i="2"/>
  <c r="G68" i="2"/>
  <c r="H68" i="2" s="1"/>
  <c r="G69" i="2"/>
  <c r="I69" i="2" s="1"/>
  <c r="G70" i="2"/>
  <c r="G71" i="2"/>
  <c r="G72" i="2"/>
  <c r="K72" i="2" s="1"/>
  <c r="M72" i="2"/>
  <c r="G73" i="2"/>
  <c r="G74" i="2"/>
  <c r="I74" i="2" s="1"/>
  <c r="G75" i="2"/>
  <c r="K75" i="2"/>
  <c r="O75" i="2" s="1"/>
  <c r="S75" i="2" s="1"/>
  <c r="G76" i="2"/>
  <c r="K76" i="2" s="1"/>
  <c r="G9" i="2"/>
  <c r="H9" i="2" s="1"/>
  <c r="K9" i="2"/>
  <c r="L60" i="2"/>
  <c r="L28" i="2"/>
  <c r="I76" i="2"/>
  <c r="H76" i="2"/>
  <c r="J76" i="2" s="1"/>
  <c r="I72" i="2"/>
  <c r="H72" i="2"/>
  <c r="I67" i="2"/>
  <c r="H67" i="2"/>
  <c r="J67" i="2" s="1"/>
  <c r="H65" i="2"/>
  <c r="H60" i="2"/>
  <c r="H57" i="2"/>
  <c r="J57" i="2" s="1"/>
  <c r="I56" i="2"/>
  <c r="H56" i="2"/>
  <c r="H55" i="2"/>
  <c r="I52" i="2"/>
  <c r="H52" i="2"/>
  <c r="J52" i="2" s="1"/>
  <c r="H49" i="2"/>
  <c r="I47" i="2"/>
  <c r="H47" i="2"/>
  <c r="I40" i="2"/>
  <c r="H40" i="2"/>
  <c r="I38" i="2"/>
  <c r="I35" i="2"/>
  <c r="H35" i="2"/>
  <c r="J35" i="2" s="1"/>
  <c r="I28" i="2"/>
  <c r="H28" i="2"/>
  <c r="H25" i="2"/>
  <c r="I24" i="2"/>
  <c r="H24" i="2"/>
  <c r="I23" i="2"/>
  <c r="H23" i="2"/>
  <c r="I20" i="2"/>
  <c r="H20" i="2"/>
  <c r="J20" i="2" s="1"/>
  <c r="I18" i="2"/>
  <c r="H18" i="2"/>
  <c r="J18" i="2" s="1"/>
  <c r="I15" i="2"/>
  <c r="I13" i="2"/>
  <c r="J13" i="2" s="1"/>
  <c r="I12" i="2"/>
  <c r="I11" i="2"/>
  <c r="H11" i="2"/>
  <c r="I9" i="2"/>
  <c r="J9" i="2" s="1"/>
  <c r="D64" i="2"/>
  <c r="E64" i="2"/>
  <c r="D63" i="2"/>
  <c r="E63" i="2"/>
  <c r="F63" i="2" s="1"/>
  <c r="D22" i="2"/>
  <c r="D12" i="2"/>
  <c r="E12" i="2"/>
  <c r="D9" i="2"/>
  <c r="F9" i="2" s="1"/>
  <c r="E9" i="2"/>
  <c r="E32" i="2"/>
  <c r="D32" i="2"/>
  <c r="E31" i="2"/>
  <c r="D31" i="2"/>
  <c r="E30" i="2"/>
  <c r="D30" i="2"/>
  <c r="E29" i="2"/>
  <c r="D29" i="2"/>
  <c r="E28" i="2"/>
  <c r="D28" i="2"/>
  <c r="E27" i="2"/>
  <c r="F27" i="2" s="1"/>
  <c r="D27" i="2"/>
  <c r="E26" i="2"/>
  <c r="D26" i="2"/>
  <c r="E25" i="2"/>
  <c r="D25" i="2"/>
  <c r="E24" i="2"/>
  <c r="D24" i="2"/>
  <c r="E23" i="2"/>
  <c r="F23" i="2" s="1"/>
  <c r="D23" i="2"/>
  <c r="E22" i="2"/>
  <c r="E21" i="2"/>
  <c r="D21" i="2"/>
  <c r="F21" i="2" s="1"/>
  <c r="D73" i="2"/>
  <c r="E73" i="2"/>
  <c r="D72" i="2"/>
  <c r="E72" i="2"/>
  <c r="F72" i="2" s="1"/>
  <c r="D71" i="2"/>
  <c r="E71" i="2"/>
  <c r="D70" i="2"/>
  <c r="E70" i="2"/>
  <c r="D69" i="2"/>
  <c r="E69" i="2"/>
  <c r="D68" i="2"/>
  <c r="E68" i="2"/>
  <c r="D67" i="2"/>
  <c r="E67" i="2"/>
  <c r="E48" i="2"/>
  <c r="D48" i="2"/>
  <c r="E47" i="2"/>
  <c r="D47" i="2"/>
  <c r="E46" i="2"/>
  <c r="D46" i="2"/>
  <c r="F46" i="2" s="1"/>
  <c r="E45" i="2"/>
  <c r="D45" i="2"/>
  <c r="E44" i="2"/>
  <c r="D44" i="2"/>
  <c r="F44" i="2" s="1"/>
  <c r="E43" i="2"/>
  <c r="D43" i="2"/>
  <c r="E42" i="2"/>
  <c r="D42" i="2"/>
  <c r="F42" i="2" s="1"/>
  <c r="E41" i="2"/>
  <c r="D41" i="2"/>
  <c r="E76" i="2"/>
  <c r="D76" i="2"/>
  <c r="E75" i="2"/>
  <c r="D75" i="2"/>
  <c r="E74" i="2"/>
  <c r="D74" i="2"/>
  <c r="F74" i="2" s="1"/>
  <c r="E66" i="2"/>
  <c r="D66" i="2"/>
  <c r="E65" i="2"/>
  <c r="D65" i="2"/>
  <c r="E62" i="2"/>
  <c r="D62" i="2"/>
  <c r="E61" i="2"/>
  <c r="D61" i="2"/>
  <c r="E60" i="2"/>
  <c r="D60" i="2"/>
  <c r="E59" i="2"/>
  <c r="D59" i="2"/>
  <c r="E58" i="2"/>
  <c r="D58" i="2"/>
  <c r="E57" i="2"/>
  <c r="D57" i="2"/>
  <c r="E56" i="2"/>
  <c r="D56" i="2"/>
  <c r="E55" i="2"/>
  <c r="D55" i="2"/>
  <c r="F55" i="2" s="1"/>
  <c r="E54" i="2"/>
  <c r="D54" i="2"/>
  <c r="E53" i="2"/>
  <c r="D53" i="2"/>
  <c r="F53" i="2" s="1"/>
  <c r="E52" i="2"/>
  <c r="D52" i="2"/>
  <c r="E51" i="2"/>
  <c r="D51" i="2"/>
  <c r="E50" i="2"/>
  <c r="D50" i="2"/>
  <c r="E49" i="2"/>
  <c r="D49" i="2"/>
  <c r="F49" i="2" s="1"/>
  <c r="D37" i="2"/>
  <c r="E37" i="2"/>
  <c r="D38" i="2"/>
  <c r="E38" i="2"/>
  <c r="F38" i="2" s="1"/>
  <c r="E40" i="2"/>
  <c r="D40" i="2"/>
  <c r="E39" i="2"/>
  <c r="D39" i="2"/>
  <c r="E36" i="2"/>
  <c r="D36" i="2"/>
  <c r="E35" i="2"/>
  <c r="D35" i="2"/>
  <c r="E34" i="2"/>
  <c r="D34" i="2"/>
  <c r="E33" i="2"/>
  <c r="D33" i="2"/>
  <c r="D14" i="2"/>
  <c r="E20" i="2"/>
  <c r="D20" i="2"/>
  <c r="E19" i="2"/>
  <c r="F19" i="2" s="1"/>
  <c r="D19" i="2"/>
  <c r="E18" i="2"/>
  <c r="D18" i="2"/>
  <c r="E17" i="2"/>
  <c r="F17" i="2" s="1"/>
  <c r="D17" i="2"/>
  <c r="E16" i="2"/>
  <c r="D16" i="2"/>
  <c r="F16" i="2" s="1"/>
  <c r="E15" i="2"/>
  <c r="F15" i="2" s="1"/>
  <c r="D15" i="2"/>
  <c r="D10" i="2"/>
  <c r="E10" i="2"/>
  <c r="F10" i="2" s="1"/>
  <c r="D11" i="2"/>
  <c r="F11" i="2" s="1"/>
  <c r="E11" i="2"/>
  <c r="D13" i="2"/>
  <c r="E13" i="2"/>
  <c r="E14" i="2"/>
  <c r="S47" i="2"/>
  <c r="T47" i="2" s="1"/>
  <c r="M47" i="2"/>
  <c r="I14" i="2"/>
  <c r="H22" i="2"/>
  <c r="H54" i="2"/>
  <c r="J56" i="2"/>
  <c r="I60" i="2"/>
  <c r="J60" i="2"/>
  <c r="M26" i="2"/>
  <c r="I10" i="2"/>
  <c r="J10" i="2" s="1"/>
  <c r="H30" i="2"/>
  <c r="H42" i="2"/>
  <c r="I54" i="2"/>
  <c r="H62" i="2"/>
  <c r="H74" i="2"/>
  <c r="I30" i="2"/>
  <c r="J30" i="2" s="1"/>
  <c r="H38" i="2"/>
  <c r="I62" i="2"/>
  <c r="J62" i="2" s="1"/>
  <c r="H70" i="2"/>
  <c r="F24" i="37"/>
  <c r="M20" i="1"/>
  <c r="O12" i="1"/>
  <c r="O28" i="1"/>
  <c r="O20" i="1"/>
  <c r="S20" i="1" s="1"/>
  <c r="W20" i="1" s="1"/>
  <c r="U47" i="2"/>
  <c r="V47" i="2" s="1"/>
  <c r="P18" i="2"/>
  <c r="M67" i="2"/>
  <c r="O35" i="2"/>
  <c r="S35" i="2" s="1"/>
  <c r="U35" i="2"/>
  <c r="M35" i="2"/>
  <c r="N35" i="2" s="1"/>
  <c r="L35" i="2"/>
  <c r="L23" i="2"/>
  <c r="N23" i="2"/>
  <c r="M11" i="2"/>
  <c r="L11" i="2"/>
  <c r="N62" i="2"/>
  <c r="J15" i="2"/>
  <c r="L18" i="2"/>
  <c r="M54" i="2"/>
  <c r="T38" i="2"/>
  <c r="V38" i="2" s="1"/>
  <c r="Q47" i="2"/>
  <c r="R47" i="2" s="1"/>
  <c r="P47" i="2"/>
  <c r="L10" i="2"/>
  <c r="M18" i="2"/>
  <c r="O76" i="2"/>
  <c r="O64" i="2"/>
  <c r="S64" i="2" s="1"/>
  <c r="U64" i="2" s="1"/>
  <c r="L64" i="2"/>
  <c r="N64" i="2" s="1"/>
  <c r="O56" i="2"/>
  <c r="S56" i="2" s="1"/>
  <c r="T56" i="2" s="1"/>
  <c r="O52" i="2"/>
  <c r="S52" i="2"/>
  <c r="U52" i="2" s="1"/>
  <c r="M52" i="2"/>
  <c r="N52" i="2" s="1"/>
  <c r="Q28" i="2"/>
  <c r="R28" i="2" s="1"/>
  <c r="P28" i="2"/>
  <c r="J38" i="2"/>
  <c r="L47" i="2"/>
  <c r="N47" i="2" s="1"/>
  <c r="O62" i="2"/>
  <c r="S62" i="2"/>
  <c r="U62" i="2" s="1"/>
  <c r="O46" i="2"/>
  <c r="S46" i="2" s="1"/>
  <c r="T46" i="2" s="1"/>
  <c r="K73" i="2"/>
  <c r="L73" i="2" s="1"/>
  <c r="K69" i="2"/>
  <c r="K57" i="2"/>
  <c r="L57" i="2" s="1"/>
  <c r="K53" i="2"/>
  <c r="O53" i="2" s="1"/>
  <c r="K49" i="2"/>
  <c r="K45" i="2"/>
  <c r="L45" i="2" s="1"/>
  <c r="K37" i="2"/>
  <c r="K33" i="2"/>
  <c r="O33" i="2" s="1"/>
  <c r="K25" i="2"/>
  <c r="L25" i="2" s="1"/>
  <c r="K21" i="2"/>
  <c r="L21" i="2" s="1"/>
  <c r="K17" i="2"/>
  <c r="K13" i="2"/>
  <c r="O13" i="2" s="1"/>
  <c r="O38" i="1"/>
  <c r="S38" i="1" s="1"/>
  <c r="W38" i="1" s="1"/>
  <c r="X38" i="1" s="1"/>
  <c r="M38" i="1"/>
  <c r="J49" i="2"/>
  <c r="H21" i="2"/>
  <c r="J21" i="2" s="1"/>
  <c r="H29" i="2"/>
  <c r="H37" i="2"/>
  <c r="J37" i="2" s="1"/>
  <c r="H45" i="2"/>
  <c r="J45" i="2" s="1"/>
  <c r="H69" i="2"/>
  <c r="J69" i="2" s="1"/>
  <c r="J11" i="2"/>
  <c r="F26" i="2"/>
  <c r="F31" i="2"/>
  <c r="F12" i="2"/>
  <c r="F64" i="2"/>
  <c r="F71" i="2"/>
  <c r="F43" i="2"/>
  <c r="F67" i="2"/>
  <c r="F69" i="2"/>
  <c r="F32" i="2"/>
  <c r="F29" i="2"/>
  <c r="F22" i="2"/>
  <c r="F30" i="2"/>
  <c r="F28" i="2"/>
  <c r="F25" i="2"/>
  <c r="F24" i="2"/>
  <c r="F73" i="2"/>
  <c r="F70" i="2"/>
  <c r="F34" i="2"/>
  <c r="F40" i="2"/>
  <c r="F52" i="2"/>
  <c r="F66" i="2"/>
  <c r="F47" i="2"/>
  <c r="F58" i="2"/>
  <c r="F65" i="2"/>
  <c r="F41" i="2"/>
  <c r="F45" i="2"/>
  <c r="F56" i="2"/>
  <c r="F37" i="2"/>
  <c r="F75" i="2"/>
  <c r="F60" i="2"/>
  <c r="F62" i="2"/>
  <c r="F50" i="2"/>
  <c r="F39" i="2"/>
  <c r="F54" i="2"/>
  <c r="F36" i="2"/>
  <c r="F14" i="2"/>
  <c r="F20" i="2"/>
  <c r="F18" i="2"/>
  <c r="F13" i="2"/>
  <c r="B8" i="3"/>
  <c r="Q76" i="2"/>
  <c r="U56" i="2"/>
  <c r="Q52" i="2"/>
  <c r="P52" i="2"/>
  <c r="M25" i="2"/>
  <c r="O25" i="2"/>
  <c r="S25" i="2"/>
  <c r="U25" i="2" s="1"/>
  <c r="M57" i="2"/>
  <c r="N57" i="2" s="1"/>
  <c r="Q56" i="2"/>
  <c r="P56" i="2"/>
  <c r="M21" i="2"/>
  <c r="M69" i="2"/>
  <c r="O69" i="2"/>
  <c r="S69" i="2"/>
  <c r="T69" i="2" s="1"/>
  <c r="L69" i="2"/>
  <c r="N69" i="2" s="1"/>
  <c r="L37" i="2"/>
  <c r="M45" i="2"/>
  <c r="O45" i="2"/>
  <c r="Q45" i="2" s="1"/>
  <c r="P64" i="2"/>
  <c r="M53" i="2"/>
  <c r="Q62" i="2"/>
  <c r="P62" i="2"/>
  <c r="Q35" i="2"/>
  <c r="P35" i="2"/>
  <c r="R35" i="2" s="1"/>
  <c r="M17" i="2"/>
  <c r="N17" i="2" s="1"/>
  <c r="O17" i="2"/>
  <c r="S17" i="2" s="1"/>
  <c r="T17" i="2" s="1"/>
  <c r="L17" i="2"/>
  <c r="M33" i="2"/>
  <c r="L49" i="2"/>
  <c r="O49" i="2"/>
  <c r="P49" i="2" s="1"/>
  <c r="M49" i="2"/>
  <c r="Q38" i="2"/>
  <c r="R38" i="2" s="1"/>
  <c r="P38" i="2"/>
  <c r="N18" i="2"/>
  <c r="Q11" i="2"/>
  <c r="T25" i="2"/>
  <c r="Q69" i="2"/>
  <c r="P69" i="2"/>
  <c r="Q17" i="2"/>
  <c r="Q49" i="2"/>
  <c r="Q25" i="2"/>
  <c r="P25" i="2"/>
  <c r="R25" i="2" s="1"/>
  <c r="N49" i="2"/>
  <c r="R69" i="2"/>
  <c r="E12" i="19" l="1"/>
  <c r="D13" i="19"/>
  <c r="M54" i="1"/>
  <c r="O54" i="1"/>
  <c r="Q54" i="1" s="1"/>
  <c r="O10" i="1"/>
  <c r="Q10" i="1" s="1"/>
  <c r="O11" i="1"/>
  <c r="L47" i="1"/>
  <c r="N47" i="1" s="1"/>
  <c r="O47" i="1"/>
  <c r="Q47" i="1" s="1"/>
  <c r="L23" i="1"/>
  <c r="M49" i="1"/>
  <c r="D12" i="19"/>
  <c r="W43" i="1"/>
  <c r="X43" i="1" s="1"/>
  <c r="S25" i="1"/>
  <c r="E13" i="19"/>
  <c r="C13" i="19"/>
  <c r="B12" i="19"/>
  <c r="C12" i="19"/>
  <c r="G35" i="30"/>
  <c r="G31" i="30"/>
  <c r="E40" i="30"/>
  <c r="G27" i="30"/>
  <c r="G19" i="30"/>
  <c r="G50" i="4"/>
  <c r="L52" i="4"/>
  <c r="G52" i="4"/>
  <c r="X52" i="4" s="1"/>
  <c r="L56" i="4"/>
  <c r="G56" i="4"/>
  <c r="X56" i="4" s="1"/>
  <c r="L54" i="4"/>
  <c r="G54" i="4"/>
  <c r="X54" i="4" s="1"/>
  <c r="P33" i="2"/>
  <c r="S33" i="2"/>
  <c r="Q33" i="2"/>
  <c r="J61" i="2"/>
  <c r="Q53" i="2"/>
  <c r="P53" i="2"/>
  <c r="S53" i="2"/>
  <c r="K63" i="2"/>
  <c r="H63" i="2"/>
  <c r="L55" i="2"/>
  <c r="M55" i="2"/>
  <c r="N55" i="2" s="1"/>
  <c r="M36" i="2"/>
  <c r="L36" i="2"/>
  <c r="N36" i="2" s="1"/>
  <c r="I31" i="2"/>
  <c r="H31" i="2"/>
  <c r="M27" i="1"/>
  <c r="O27" i="1"/>
  <c r="P27" i="1" s="1"/>
  <c r="L27" i="1"/>
  <c r="M15" i="24"/>
  <c r="L15" i="24"/>
  <c r="P46" i="2"/>
  <c r="U46" i="2"/>
  <c r="V46" i="2" s="1"/>
  <c r="O36" i="2"/>
  <c r="M75" i="2"/>
  <c r="I63" i="2"/>
  <c r="J54" i="2"/>
  <c r="J28" i="2"/>
  <c r="H39" i="2"/>
  <c r="H43" i="2"/>
  <c r="J43" i="2" s="1"/>
  <c r="J55" i="2"/>
  <c r="O9" i="2"/>
  <c r="M9" i="2"/>
  <c r="I75" i="2"/>
  <c r="J75" i="2" s="1"/>
  <c r="H75" i="2"/>
  <c r="L72" i="2"/>
  <c r="N72" i="2" s="1"/>
  <c r="O72" i="2"/>
  <c r="P72" i="2" s="1"/>
  <c r="I65" i="2"/>
  <c r="K65" i="2"/>
  <c r="M60" i="2"/>
  <c r="N60" i="2" s="1"/>
  <c r="O60" i="2"/>
  <c r="K51" i="2"/>
  <c r="H51" i="2"/>
  <c r="M48" i="2"/>
  <c r="O48" i="2"/>
  <c r="P48" i="2" s="1"/>
  <c r="L48" i="2"/>
  <c r="H46" i="2"/>
  <c r="I46" i="2"/>
  <c r="K42" i="2"/>
  <c r="H19" i="2"/>
  <c r="J19" i="2" s="1"/>
  <c r="K19" i="2"/>
  <c r="I19" i="2"/>
  <c r="J14" i="2"/>
  <c r="M37" i="1"/>
  <c r="O37" i="1"/>
  <c r="Q37" i="1" s="1"/>
  <c r="H122" i="24"/>
  <c r="I122" i="24"/>
  <c r="H121" i="26"/>
  <c r="K121" i="26"/>
  <c r="L121" i="26" s="1"/>
  <c r="K66" i="2"/>
  <c r="H66" i="2"/>
  <c r="J66" i="2" s="1"/>
  <c r="I66" i="2"/>
  <c r="K58" i="2"/>
  <c r="O58" i="2" s="1"/>
  <c r="I58" i="2"/>
  <c r="O14" i="2"/>
  <c r="L14" i="2"/>
  <c r="K62" i="24"/>
  <c r="O62" i="24" s="1"/>
  <c r="Q62" i="24" s="1"/>
  <c r="H62" i="24"/>
  <c r="K102" i="26"/>
  <c r="H102" i="26"/>
  <c r="R52" i="2"/>
  <c r="P17" i="2"/>
  <c r="U69" i="2"/>
  <c r="V69" i="2" s="1"/>
  <c r="Q46" i="2"/>
  <c r="S49" i="2"/>
  <c r="T49" i="2" s="1"/>
  <c r="M14" i="2"/>
  <c r="N14" i="2" s="1"/>
  <c r="V56" i="2"/>
  <c r="N11" i="2"/>
  <c r="L75" i="2"/>
  <c r="I42" i="2"/>
  <c r="J42" i="2" s="1"/>
  <c r="J39" i="2"/>
  <c r="H17" i="2"/>
  <c r="J17" i="2" s="1"/>
  <c r="I39" i="2"/>
  <c r="I43" i="2"/>
  <c r="I51" i="2"/>
  <c r="H58" i="2"/>
  <c r="J58" i="2" s="1"/>
  <c r="O67" i="2"/>
  <c r="L67" i="2"/>
  <c r="L54" i="2"/>
  <c r="N54" i="2" s="1"/>
  <c r="O54" i="2"/>
  <c r="I48" i="2"/>
  <c r="H48" i="2"/>
  <c r="I29" i="2"/>
  <c r="J29" i="2" s="1"/>
  <c r="K29" i="2"/>
  <c r="M29" i="2" s="1"/>
  <c r="K24" i="2"/>
  <c r="J24" i="2"/>
  <c r="M10" i="2"/>
  <c r="N10" i="2" s="1"/>
  <c r="O10" i="2"/>
  <c r="I102" i="26"/>
  <c r="J65" i="2"/>
  <c r="I61" i="2"/>
  <c r="K61" i="2"/>
  <c r="M39" i="2"/>
  <c r="O39" i="2"/>
  <c r="P11" i="2"/>
  <c r="R11" i="2" s="1"/>
  <c r="L33" i="2"/>
  <c r="N33" i="2" s="1"/>
  <c r="L53" i="2"/>
  <c r="N53" i="2" s="1"/>
  <c r="P45" i="2"/>
  <c r="R45" i="2" s="1"/>
  <c r="R49" i="2"/>
  <c r="R17" i="2"/>
  <c r="R62" i="2"/>
  <c r="O57" i="2"/>
  <c r="N25" i="2"/>
  <c r="M46" i="2"/>
  <c r="L39" i="2"/>
  <c r="N39" i="2" s="1"/>
  <c r="O55" i="2"/>
  <c r="S55" i="2" s="1"/>
  <c r="U55" i="2" s="1"/>
  <c r="H34" i="2"/>
  <c r="J34" i="2" s="1"/>
  <c r="J47" i="2"/>
  <c r="J72" i="2"/>
  <c r="I73" i="2"/>
  <c r="H73" i="2"/>
  <c r="J73" i="2" s="1"/>
  <c r="K70" i="2"/>
  <c r="I70" i="2"/>
  <c r="J70" i="2" s="1"/>
  <c r="I44" i="2"/>
  <c r="K44" i="2"/>
  <c r="L44" i="2" s="1"/>
  <c r="H44" i="2"/>
  <c r="K34" i="2"/>
  <c r="K31" i="2"/>
  <c r="T28" i="2"/>
  <c r="V28" i="2" s="1"/>
  <c r="U28" i="2"/>
  <c r="L26" i="2"/>
  <c r="N26" i="2" s="1"/>
  <c r="O26" i="2"/>
  <c r="H12" i="2"/>
  <c r="J12" i="2" s="1"/>
  <c r="K12" i="2"/>
  <c r="M12" i="1"/>
  <c r="L12" i="1"/>
  <c r="K77" i="24"/>
  <c r="I77" i="24"/>
  <c r="K108" i="24"/>
  <c r="O108" i="24" s="1"/>
  <c r="S108" i="24" s="1"/>
  <c r="H108" i="24"/>
  <c r="K98" i="26"/>
  <c r="H108" i="26"/>
  <c r="K108" i="26"/>
  <c r="M108" i="26" s="1"/>
  <c r="F101" i="26"/>
  <c r="O23" i="2"/>
  <c r="I26" i="2"/>
  <c r="F33" i="2"/>
  <c r="F35" i="2"/>
  <c r="F51" i="2"/>
  <c r="F57" i="2"/>
  <c r="F59" i="2"/>
  <c r="F61" i="2"/>
  <c r="F76" i="2"/>
  <c r="F48" i="2"/>
  <c r="F68" i="2"/>
  <c r="K74" i="2"/>
  <c r="N28" i="2"/>
  <c r="J25" i="2"/>
  <c r="L10" i="1"/>
  <c r="N10" i="1" s="1"/>
  <c r="O41" i="1"/>
  <c r="P41" i="1" s="1"/>
  <c r="I127" i="26"/>
  <c r="M11" i="1"/>
  <c r="N11" i="1" s="1"/>
  <c r="H26" i="2"/>
  <c r="J26" i="2" s="1"/>
  <c r="J74" i="2"/>
  <c r="F130" i="24"/>
  <c r="F88" i="26"/>
  <c r="F82" i="26"/>
  <c r="N37" i="2"/>
  <c r="S13" i="2"/>
  <c r="P13" i="2"/>
  <c r="R13" i="2" s="1"/>
  <c r="Q13" i="2"/>
  <c r="O30" i="2"/>
  <c r="M30" i="2"/>
  <c r="V25" i="2"/>
  <c r="P75" i="2"/>
  <c r="R75" i="2" s="1"/>
  <c r="Q64" i="2"/>
  <c r="R64" i="2" s="1"/>
  <c r="S45" i="2"/>
  <c r="M13" i="2"/>
  <c r="L13" i="2"/>
  <c r="M73" i="2"/>
  <c r="N73" i="2" s="1"/>
  <c r="O37" i="2"/>
  <c r="N67" i="2"/>
  <c r="M76" i="2"/>
  <c r="L76" i="2"/>
  <c r="N76" i="2" s="1"/>
  <c r="L66" i="2"/>
  <c r="K59" i="2"/>
  <c r="I59" i="2"/>
  <c r="H59" i="2"/>
  <c r="J59" i="2" s="1"/>
  <c r="M56" i="2"/>
  <c r="L56" i="2"/>
  <c r="N56" i="2" s="1"/>
  <c r="O51" i="2"/>
  <c r="N46" i="2"/>
  <c r="O44" i="2"/>
  <c r="M44" i="2"/>
  <c r="N44" i="2" s="1"/>
  <c r="K32" i="2"/>
  <c r="I32" i="2"/>
  <c r="H32" i="2"/>
  <c r="S14" i="2"/>
  <c r="P14" i="2"/>
  <c r="R14" i="2" s="1"/>
  <c r="Q14" i="2"/>
  <c r="O12" i="2"/>
  <c r="M12" i="2"/>
  <c r="L12" i="2"/>
  <c r="T35" i="2"/>
  <c r="V35" i="2" s="1"/>
  <c r="L9" i="2"/>
  <c r="N9" i="2" s="1"/>
  <c r="K27" i="2"/>
  <c r="I27" i="2"/>
  <c r="H27" i="2"/>
  <c r="J27" i="2"/>
  <c r="T62" i="2"/>
  <c r="V62" i="2" s="1"/>
  <c r="T75" i="2"/>
  <c r="U75" i="2"/>
  <c r="K104" i="26"/>
  <c r="L104" i="26" s="1"/>
  <c r="H104" i="26"/>
  <c r="U17" i="2"/>
  <c r="V17" i="2" s="1"/>
  <c r="Q75" i="2"/>
  <c r="O21" i="2"/>
  <c r="M37" i="2"/>
  <c r="P76" i="2"/>
  <c r="R76" i="2" s="1"/>
  <c r="T52" i="2"/>
  <c r="V52" i="2"/>
  <c r="N45" i="2"/>
  <c r="N21" i="2"/>
  <c r="R56" i="2"/>
  <c r="O73" i="2"/>
  <c r="T64" i="2"/>
  <c r="V64" i="2" s="1"/>
  <c r="S76" i="2"/>
  <c r="L30" i="2"/>
  <c r="T11" i="2"/>
  <c r="V11" i="2"/>
  <c r="L70" i="2"/>
  <c r="I53" i="2"/>
  <c r="H53" i="2"/>
  <c r="K50" i="2"/>
  <c r="I50" i="2"/>
  <c r="J50" i="2" s="1"/>
  <c r="J48" i="2"/>
  <c r="O43" i="2"/>
  <c r="M43" i="2"/>
  <c r="N43" i="2" s="1"/>
  <c r="I41" i="2"/>
  <c r="J41" i="2" s="1"/>
  <c r="H41" i="2"/>
  <c r="K41" i="2"/>
  <c r="L38" i="2"/>
  <c r="N38" i="2" s="1"/>
  <c r="M38" i="2"/>
  <c r="Q18" i="2"/>
  <c r="R18" i="2" s="1"/>
  <c r="J23" i="2"/>
  <c r="K40" i="2"/>
  <c r="J40" i="2"/>
  <c r="I33" i="2"/>
  <c r="H33" i="2"/>
  <c r="L30" i="1"/>
  <c r="M30" i="1"/>
  <c r="K105" i="26"/>
  <c r="L105" i="26" s="1"/>
  <c r="I105" i="26"/>
  <c r="H105" i="26"/>
  <c r="T18" i="2"/>
  <c r="V18" i="2" s="1"/>
  <c r="U18" i="2"/>
  <c r="K16" i="2"/>
  <c r="I16" i="2"/>
  <c r="H16" i="2"/>
  <c r="S50" i="1"/>
  <c r="T50" i="1" s="1"/>
  <c r="Q50" i="1"/>
  <c r="K51" i="24"/>
  <c r="H51" i="24"/>
  <c r="K65" i="24"/>
  <c r="O65" i="24" s="1"/>
  <c r="H65" i="24"/>
  <c r="K120" i="26"/>
  <c r="M120" i="26" s="1"/>
  <c r="I120" i="26"/>
  <c r="H120" i="26"/>
  <c r="N75" i="2"/>
  <c r="K71" i="2"/>
  <c r="H71" i="2"/>
  <c r="J71" i="2" s="1"/>
  <c r="I71" i="2"/>
  <c r="K68" i="2"/>
  <c r="I68" i="2"/>
  <c r="J68" i="2" s="1"/>
  <c r="M58" i="2"/>
  <c r="L58" i="2"/>
  <c r="N58" i="2" s="1"/>
  <c r="K22" i="2"/>
  <c r="I22" i="2"/>
  <c r="J22" i="2" s="1"/>
  <c r="M20" i="2"/>
  <c r="O20" i="2"/>
  <c r="L20" i="2"/>
  <c r="N20" i="2" s="1"/>
  <c r="M39" i="24"/>
  <c r="L39" i="24"/>
  <c r="K86" i="26"/>
  <c r="L86" i="26" s="1"/>
  <c r="I86" i="26"/>
  <c r="K15" i="2"/>
  <c r="F125" i="26"/>
  <c r="F106" i="26"/>
  <c r="F99" i="26"/>
  <c r="F85" i="26"/>
  <c r="K80" i="26"/>
  <c r="H88" i="26"/>
  <c r="P20" i="1"/>
  <c r="H36" i="2"/>
  <c r="J36" i="2" s="1"/>
  <c r="J44" i="2"/>
  <c r="H64" i="2"/>
  <c r="J64" i="2" s="1"/>
  <c r="F128" i="24"/>
  <c r="F40" i="30"/>
  <c r="D40" i="30"/>
  <c r="C62" i="4"/>
  <c r="F37" i="30"/>
  <c r="F36" i="30"/>
  <c r="E36" i="30"/>
  <c r="E37" i="30"/>
  <c r="D37" i="30"/>
  <c r="D36" i="30"/>
  <c r="F33" i="30"/>
  <c r="F32" i="30"/>
  <c r="G32" i="30" s="1"/>
  <c r="E33" i="30"/>
  <c r="E32" i="30"/>
  <c r="D32" i="30"/>
  <c r="D33" i="30"/>
  <c r="F28" i="30"/>
  <c r="G28" i="30" s="1"/>
  <c r="F29" i="30"/>
  <c r="E29" i="30"/>
  <c r="E28" i="30"/>
  <c r="D29" i="30"/>
  <c r="D28" i="30"/>
  <c r="F24" i="30"/>
  <c r="G24" i="30" s="1"/>
  <c r="F25" i="30"/>
  <c r="E25" i="30"/>
  <c r="E24" i="30"/>
  <c r="D25" i="30"/>
  <c r="D24" i="30"/>
  <c r="C25" i="30"/>
  <c r="C42" i="30" s="1"/>
  <c r="C24" i="30"/>
  <c r="C41" i="30" s="1"/>
  <c r="D21" i="30"/>
  <c r="D20" i="30"/>
  <c r="E21" i="30"/>
  <c r="E20" i="30"/>
  <c r="F21" i="30"/>
  <c r="F20" i="30"/>
  <c r="G20" i="30" s="1"/>
  <c r="F120" i="26"/>
  <c r="F104" i="26"/>
  <c r="F100" i="26"/>
  <c r="F107" i="26"/>
  <c r="F81" i="26"/>
  <c r="F129" i="26"/>
  <c r="F81" i="24"/>
  <c r="F132" i="24"/>
  <c r="F80" i="24"/>
  <c r="F93" i="24"/>
  <c r="F107" i="24"/>
  <c r="P20" i="28"/>
  <c r="D22" i="28"/>
  <c r="D21" i="28"/>
  <c r="F105" i="24"/>
  <c r="D8" i="28" s="1"/>
  <c r="F109" i="24"/>
  <c r="P24" i="28"/>
  <c r="D26" i="28"/>
  <c r="D25" i="28"/>
  <c r="AB8" i="28"/>
  <c r="P8" i="28"/>
  <c r="S8" i="28"/>
  <c r="V8" i="28"/>
  <c r="V59" i="4"/>
  <c r="F119" i="4" s="1"/>
  <c r="O50" i="4"/>
  <c r="O59" i="4" s="1"/>
  <c r="G107" i="4" s="1"/>
  <c r="U50" i="4"/>
  <c r="U59" i="4" s="1"/>
  <c r="G119" i="4" s="1"/>
  <c r="L50" i="4"/>
  <c r="D9" i="37"/>
  <c r="I9" i="37"/>
  <c r="C21" i="36"/>
  <c r="G25" i="37"/>
  <c r="B19" i="36"/>
  <c r="P46" i="1"/>
  <c r="S46" i="1"/>
  <c r="T46" i="1" s="1"/>
  <c r="Y20" i="1"/>
  <c r="X20" i="1"/>
  <c r="Z20" i="1" s="1"/>
  <c r="O53" i="1"/>
  <c r="P53" i="1" s="1"/>
  <c r="N49" i="1"/>
  <c r="N23" i="1"/>
  <c r="O14" i="1"/>
  <c r="Q14" i="1" s="1"/>
  <c r="M23" i="1"/>
  <c r="Q20" i="1"/>
  <c r="O30" i="1"/>
  <c r="O23" i="1"/>
  <c r="S24" i="1" s="1"/>
  <c r="W25" i="1" s="1"/>
  <c r="O49" i="1"/>
  <c r="L53" i="1"/>
  <c r="N53" i="1" s="1"/>
  <c r="P38" i="1"/>
  <c r="P54" i="1"/>
  <c r="R54" i="1" s="1"/>
  <c r="N30" i="1"/>
  <c r="N38" i="1"/>
  <c r="C8" i="3" s="1"/>
  <c r="M39" i="1"/>
  <c r="N39" i="1" s="1"/>
  <c r="N20" i="1"/>
  <c r="M14" i="1"/>
  <c r="N14" i="1" s="1"/>
  <c r="S56" i="1"/>
  <c r="T56" i="1" s="1"/>
  <c r="Q56" i="1"/>
  <c r="L16" i="1"/>
  <c r="N16" i="1" s="1"/>
  <c r="N54" i="1"/>
  <c r="M17" i="1"/>
  <c r="N17" i="1" s="1"/>
  <c r="L40" i="1"/>
  <c r="N40" i="1" s="1"/>
  <c r="L37" i="1"/>
  <c r="N37" i="1" s="1"/>
  <c r="U20" i="1"/>
  <c r="P28" i="1"/>
  <c r="M41" i="1"/>
  <c r="W42" i="1"/>
  <c r="Y42" i="1" s="1"/>
  <c r="L41" i="1"/>
  <c r="O40" i="1"/>
  <c r="Q28" i="1"/>
  <c r="O16" i="1"/>
  <c r="P16" i="1" s="1"/>
  <c r="S27" i="1"/>
  <c r="T20" i="1"/>
  <c r="S54" i="1"/>
  <c r="U54" i="1" s="1"/>
  <c r="S28" i="1"/>
  <c r="T28" i="1" s="1"/>
  <c r="O17" i="1"/>
  <c r="S17" i="1" s="1"/>
  <c r="L48" i="1"/>
  <c r="L32" i="1"/>
  <c r="S21" i="1"/>
  <c r="Q21" i="1"/>
  <c r="P21" i="1"/>
  <c r="L13" i="1"/>
  <c r="O13" i="1"/>
  <c r="M33" i="1"/>
  <c r="N33" i="1" s="1"/>
  <c r="S37" i="1"/>
  <c r="U55" i="1"/>
  <c r="V55" i="1" s="1"/>
  <c r="P55" i="1"/>
  <c r="Q55" i="1"/>
  <c r="L55" i="1"/>
  <c r="W26" i="1"/>
  <c r="T25" i="1"/>
  <c r="M57" i="1"/>
  <c r="N57" i="1" s="1"/>
  <c r="O58" i="1"/>
  <c r="O57" i="1"/>
  <c r="Q46" i="1"/>
  <c r="P10" i="1"/>
  <c r="R10" i="1" s="1"/>
  <c r="L21" i="1"/>
  <c r="U25" i="1"/>
  <c r="S14" i="1"/>
  <c r="O48" i="1"/>
  <c r="O32" i="1"/>
  <c r="O15" i="1"/>
  <c r="L15" i="1"/>
  <c r="M15" i="1"/>
  <c r="M13" i="1"/>
  <c r="L22" i="1"/>
  <c r="O22" i="1"/>
  <c r="M22" i="1"/>
  <c r="O34" i="1"/>
  <c r="P12" i="1"/>
  <c r="S12" i="1"/>
  <c r="Q12" i="1"/>
  <c r="S10" i="1"/>
  <c r="W55" i="1"/>
  <c r="P14" i="1"/>
  <c r="R14" i="1" s="1"/>
  <c r="M48" i="1"/>
  <c r="M21" i="1"/>
  <c r="O33" i="1"/>
  <c r="P56" i="1"/>
  <c r="L45" i="1"/>
  <c r="O45" i="1"/>
  <c r="M45" i="1"/>
  <c r="M32" i="1"/>
  <c r="M55" i="1"/>
  <c r="M56" i="1"/>
  <c r="L56" i="1"/>
  <c r="M29" i="1"/>
  <c r="N29" i="1" s="1"/>
  <c r="O29" i="1"/>
  <c r="L18" i="1"/>
  <c r="N18" i="1" s="1"/>
  <c r="O18" i="1"/>
  <c r="M46" i="1"/>
  <c r="L46" i="1"/>
  <c r="L31" i="1"/>
  <c r="N31" i="1" s="1"/>
  <c r="O31" i="1"/>
  <c r="Q40" i="1"/>
  <c r="M19" i="1"/>
  <c r="N19" i="1" s="1"/>
  <c r="O19" i="1"/>
  <c r="Q24" i="1"/>
  <c r="R24" i="1" s="1"/>
  <c r="L28" i="1"/>
  <c r="N28" i="1" s="1"/>
  <c r="Q38" i="1"/>
  <c r="T42" i="1"/>
  <c r="V42" i="1" s="1"/>
  <c r="P50" i="1"/>
  <c r="S51" i="1"/>
  <c r="O39" i="1"/>
  <c r="S43" i="1"/>
  <c r="P42" i="1"/>
  <c r="Q42" i="1"/>
  <c r="Y38" i="1"/>
  <c r="Z38" i="1" s="1"/>
  <c r="U38" i="1"/>
  <c r="T38" i="1"/>
  <c r="Q27" i="1"/>
  <c r="R27" i="1" s="1"/>
  <c r="N27" i="1"/>
  <c r="F120" i="24"/>
  <c r="F131" i="24"/>
  <c r="H125" i="24"/>
  <c r="J125" i="24" s="1"/>
  <c r="F124" i="24"/>
  <c r="F126" i="24"/>
  <c r="D16" i="28" s="1"/>
  <c r="K97" i="24"/>
  <c r="O97" i="24" s="1"/>
  <c r="Q97" i="24" s="1"/>
  <c r="F95" i="24"/>
  <c r="I97" i="24"/>
  <c r="J97" i="24" s="1"/>
  <c r="J101" i="24" s="1"/>
  <c r="I96" i="24"/>
  <c r="J96" i="24" s="1"/>
  <c r="F96" i="24"/>
  <c r="L78" i="24"/>
  <c r="N78" i="24" s="1"/>
  <c r="O78" i="24"/>
  <c r="Q78" i="24" s="1"/>
  <c r="H66" i="24"/>
  <c r="I50" i="24"/>
  <c r="J50" i="24" s="1"/>
  <c r="K49" i="24"/>
  <c r="O49" i="24" s="1"/>
  <c r="H16" i="24"/>
  <c r="J16" i="24" s="1"/>
  <c r="J19" i="24" s="1"/>
  <c r="H12" i="24"/>
  <c r="J12" i="24" s="1"/>
  <c r="H15" i="24"/>
  <c r="O66" i="24"/>
  <c r="Q66" i="24" s="1"/>
  <c r="M66" i="24"/>
  <c r="L66" i="24"/>
  <c r="K48" i="24"/>
  <c r="H38" i="24"/>
  <c r="H48" i="24"/>
  <c r="J48" i="24" s="1"/>
  <c r="I132" i="24"/>
  <c r="F97" i="24"/>
  <c r="K61" i="24"/>
  <c r="O61" i="24" s="1"/>
  <c r="H82" i="24"/>
  <c r="F94" i="24"/>
  <c r="D12" i="28" s="1"/>
  <c r="F108" i="24"/>
  <c r="I66" i="24"/>
  <c r="O123" i="24"/>
  <c r="S123" i="24" s="1"/>
  <c r="U123" i="24" s="1"/>
  <c r="K50" i="24"/>
  <c r="O50" i="24" s="1"/>
  <c r="H28" i="24"/>
  <c r="H132" i="24"/>
  <c r="O27" i="24"/>
  <c r="S27" i="24" s="1"/>
  <c r="U27" i="24" s="1"/>
  <c r="F91" i="24"/>
  <c r="I79" i="24"/>
  <c r="O28" i="24"/>
  <c r="P28" i="24" s="1"/>
  <c r="I82" i="24"/>
  <c r="J82" i="24" s="1"/>
  <c r="K107" i="24"/>
  <c r="L107" i="24" s="1"/>
  <c r="H79" i="24"/>
  <c r="I38" i="24"/>
  <c r="M28" i="24"/>
  <c r="N28" i="24" s="1"/>
  <c r="H123" i="24"/>
  <c r="I65" i="24"/>
  <c r="J65" i="24" s="1"/>
  <c r="I93" i="24"/>
  <c r="F92" i="24"/>
  <c r="H107" i="24"/>
  <c r="J107" i="24" s="1"/>
  <c r="H93" i="24"/>
  <c r="I108" i="24"/>
  <c r="J108" i="24" s="1"/>
  <c r="K96" i="24"/>
  <c r="M96" i="24" s="1"/>
  <c r="O93" i="24"/>
  <c r="M93" i="24"/>
  <c r="L93" i="24"/>
  <c r="M95" i="24"/>
  <c r="O95" i="24"/>
  <c r="S95" i="24" s="1"/>
  <c r="U95" i="24" s="1"/>
  <c r="L38" i="24"/>
  <c r="O38" i="24"/>
  <c r="Q38" i="24" s="1"/>
  <c r="M38" i="24"/>
  <c r="O132" i="24"/>
  <c r="L132" i="24"/>
  <c r="H126" i="24"/>
  <c r="K119" i="24"/>
  <c r="O119" i="24" s="1"/>
  <c r="P119" i="24" s="1"/>
  <c r="K129" i="24"/>
  <c r="L129" i="24" s="1"/>
  <c r="H13" i="24"/>
  <c r="J13" i="24" s="1"/>
  <c r="H80" i="24"/>
  <c r="M123" i="24"/>
  <c r="N123" i="24" s="1"/>
  <c r="I39" i="24"/>
  <c r="J39" i="24" s="1"/>
  <c r="O15" i="24"/>
  <c r="P15" i="24" s="1"/>
  <c r="I28" i="24"/>
  <c r="I62" i="24"/>
  <c r="J62" i="24" s="1"/>
  <c r="H95" i="24"/>
  <c r="M27" i="24"/>
  <c r="N27" i="24" s="1"/>
  <c r="I26" i="24"/>
  <c r="J26" i="24" s="1"/>
  <c r="K13" i="24"/>
  <c r="I61" i="24"/>
  <c r="J61" i="24" s="1"/>
  <c r="K16" i="24"/>
  <c r="I95" i="24"/>
  <c r="K75" i="24"/>
  <c r="I126" i="24"/>
  <c r="I15" i="24"/>
  <c r="K52" i="24"/>
  <c r="F79" i="24"/>
  <c r="F111" i="24"/>
  <c r="F125" i="24"/>
  <c r="I75" i="24"/>
  <c r="J75" i="24" s="1"/>
  <c r="I123" i="24"/>
  <c r="I14" i="24"/>
  <c r="J14" i="24" s="1"/>
  <c r="K26" i="24"/>
  <c r="K106" i="24"/>
  <c r="L106" i="24" s="1"/>
  <c r="K125" i="24"/>
  <c r="M125" i="24" s="1"/>
  <c r="O60" i="24"/>
  <c r="Q60" i="24" s="1"/>
  <c r="J110" i="24"/>
  <c r="I25" i="24"/>
  <c r="J25" i="24" s="1"/>
  <c r="I60" i="24"/>
  <c r="H60" i="24"/>
  <c r="H129" i="24"/>
  <c r="J129" i="24" s="1"/>
  <c r="K25" i="24"/>
  <c r="M25" i="24" s="1"/>
  <c r="J132" i="24"/>
  <c r="J139" i="24" s="1"/>
  <c r="I52" i="24"/>
  <c r="J52" i="24" s="1"/>
  <c r="L61" i="24"/>
  <c r="I120" i="24"/>
  <c r="K120" i="24"/>
  <c r="H120" i="24"/>
  <c r="I130" i="24"/>
  <c r="H130" i="24"/>
  <c r="K130" i="24"/>
  <c r="I47" i="24"/>
  <c r="K47" i="24"/>
  <c r="H47" i="24"/>
  <c r="O110" i="24"/>
  <c r="L110" i="24"/>
  <c r="N110" i="24" s="1"/>
  <c r="N3" i="24"/>
  <c r="M62" i="24"/>
  <c r="L62" i="24"/>
  <c r="K124" i="24"/>
  <c r="H124" i="24"/>
  <c r="J124" i="24" s="1"/>
  <c r="L131" i="24"/>
  <c r="O131" i="24"/>
  <c r="M131" i="24"/>
  <c r="H35" i="24"/>
  <c r="I35" i="24"/>
  <c r="K35" i="24"/>
  <c r="K63" i="24"/>
  <c r="H63" i="24"/>
  <c r="I63" i="24"/>
  <c r="H121" i="24"/>
  <c r="J121" i="24" s="1"/>
  <c r="K121" i="24"/>
  <c r="I131" i="24"/>
  <c r="H131" i="24"/>
  <c r="J78" i="24"/>
  <c r="S62" i="24"/>
  <c r="P62" i="24"/>
  <c r="R62" i="24" s="1"/>
  <c r="L105" i="24"/>
  <c r="O105" i="24"/>
  <c r="L40" i="24"/>
  <c r="O40" i="24"/>
  <c r="M40" i="24"/>
  <c r="K81" i="24"/>
  <c r="H81" i="24"/>
  <c r="I81" i="24"/>
  <c r="L96" i="24"/>
  <c r="O96" i="24"/>
  <c r="S97" i="24"/>
  <c r="K127" i="24"/>
  <c r="I127" i="24"/>
  <c r="J127" i="24" s="1"/>
  <c r="M82" i="24"/>
  <c r="O82" i="24"/>
  <c r="L82" i="24"/>
  <c r="M105" i="24"/>
  <c r="L12" i="24"/>
  <c r="O12" i="24"/>
  <c r="M12" i="24"/>
  <c r="L77" i="24"/>
  <c r="O77" i="24"/>
  <c r="M77" i="24"/>
  <c r="L50" i="24"/>
  <c r="M50" i="24"/>
  <c r="L119" i="24"/>
  <c r="M119" i="24"/>
  <c r="K11" i="24"/>
  <c r="I11" i="24"/>
  <c r="J11" i="24" s="1"/>
  <c r="O23" i="24"/>
  <c r="M23" i="24"/>
  <c r="N23" i="24" s="1"/>
  <c r="I64" i="24"/>
  <c r="H64" i="24"/>
  <c r="O79" i="24"/>
  <c r="M79" i="24"/>
  <c r="L79" i="24"/>
  <c r="M111" i="24"/>
  <c r="N111" i="24" s="1"/>
  <c r="O111" i="24"/>
  <c r="H128" i="24"/>
  <c r="K128" i="24"/>
  <c r="I128" i="24"/>
  <c r="H23" i="24"/>
  <c r="I23" i="24"/>
  <c r="H37" i="24"/>
  <c r="J37" i="24" s="1"/>
  <c r="K37" i="24"/>
  <c r="O51" i="24"/>
  <c r="M51" i="24"/>
  <c r="H94" i="24"/>
  <c r="K94" i="24"/>
  <c r="I94" i="24"/>
  <c r="M108" i="24"/>
  <c r="I111" i="24"/>
  <c r="H111" i="24"/>
  <c r="M24" i="24"/>
  <c r="N24" i="24" s="1"/>
  <c r="O24" i="24"/>
  <c r="I51" i="24"/>
  <c r="J51" i="24" s="1"/>
  <c r="L95" i="24"/>
  <c r="S126" i="24"/>
  <c r="Q126" i="24"/>
  <c r="P126" i="24"/>
  <c r="N39" i="24"/>
  <c r="O39" i="24"/>
  <c r="K64" i="24"/>
  <c r="L51" i="24"/>
  <c r="K91" i="24"/>
  <c r="J91" i="24"/>
  <c r="M132" i="24"/>
  <c r="I27" i="24"/>
  <c r="H27" i="24"/>
  <c r="I105" i="24"/>
  <c r="H105" i="24"/>
  <c r="M60" i="24"/>
  <c r="N60" i="24" s="1"/>
  <c r="I80" i="24"/>
  <c r="Q14" i="24"/>
  <c r="S14" i="24"/>
  <c r="K59" i="24"/>
  <c r="I59" i="24"/>
  <c r="J59" i="24" s="1"/>
  <c r="I76" i="24"/>
  <c r="J76" i="24" s="1"/>
  <c r="K76" i="24"/>
  <c r="H109" i="24"/>
  <c r="J109" i="24" s="1"/>
  <c r="K109" i="24"/>
  <c r="I40" i="24"/>
  <c r="H40" i="24"/>
  <c r="M80" i="24"/>
  <c r="N80" i="24" s="1"/>
  <c r="O80" i="24"/>
  <c r="H119" i="24"/>
  <c r="J119" i="24" s="1"/>
  <c r="P14" i="24"/>
  <c r="J49" i="24"/>
  <c r="H92" i="24"/>
  <c r="J92" i="24" s="1"/>
  <c r="K92" i="24"/>
  <c r="J122" i="24"/>
  <c r="K122" i="24"/>
  <c r="I24" i="24"/>
  <c r="J24" i="24" s="1"/>
  <c r="M126" i="24"/>
  <c r="L126" i="24"/>
  <c r="K36" i="24"/>
  <c r="H36" i="24"/>
  <c r="J36" i="24" s="1"/>
  <c r="H77" i="24"/>
  <c r="J77" i="24" s="1"/>
  <c r="M14" i="24"/>
  <c r="L14" i="24"/>
  <c r="O121" i="26"/>
  <c r="F132" i="26"/>
  <c r="M83" i="26"/>
  <c r="H83" i="26"/>
  <c r="H127" i="26"/>
  <c r="J127" i="26" s="1"/>
  <c r="M121" i="26"/>
  <c r="N121" i="26" s="1"/>
  <c r="F83" i="26"/>
  <c r="O107" i="26"/>
  <c r="S107" i="26" s="1"/>
  <c r="I83" i="26"/>
  <c r="L107" i="26"/>
  <c r="N107" i="26" s="1"/>
  <c r="I121" i="26"/>
  <c r="J121" i="26" s="1"/>
  <c r="K132" i="26"/>
  <c r="F123" i="26"/>
  <c r="K101" i="26"/>
  <c r="M101" i="26" s="1"/>
  <c r="M80" i="26"/>
  <c r="F126" i="26"/>
  <c r="H107" i="26"/>
  <c r="O105" i="26"/>
  <c r="Q105" i="26" s="1"/>
  <c r="M102" i="26"/>
  <c r="L102" i="26"/>
  <c r="N102" i="26" s="1"/>
  <c r="O102" i="26"/>
  <c r="P102" i="26" s="1"/>
  <c r="M127" i="26"/>
  <c r="L127" i="26"/>
  <c r="F121" i="26"/>
  <c r="F128" i="26"/>
  <c r="J102" i="26"/>
  <c r="J80" i="26"/>
  <c r="K124" i="26"/>
  <c r="J124" i="26"/>
  <c r="F86" i="26"/>
  <c r="P123" i="26"/>
  <c r="R123" i="26" s="1"/>
  <c r="F124" i="26"/>
  <c r="F102" i="26"/>
  <c r="H123" i="26"/>
  <c r="F127" i="26"/>
  <c r="F105" i="26"/>
  <c r="F98" i="26"/>
  <c r="I130" i="26"/>
  <c r="J130" i="26" s="1"/>
  <c r="F130" i="26"/>
  <c r="F108" i="26"/>
  <c r="I85" i="26"/>
  <c r="J85" i="26" s="1"/>
  <c r="P83" i="26"/>
  <c r="R83" i="26" s="1"/>
  <c r="K130" i="26"/>
  <c r="O130" i="26" s="1"/>
  <c r="S130" i="26" s="1"/>
  <c r="H86" i="26"/>
  <c r="J86" i="26" s="1"/>
  <c r="Q83" i="26"/>
  <c r="I107" i="26"/>
  <c r="J100" i="26"/>
  <c r="K85" i="26"/>
  <c r="O85" i="26" s="1"/>
  <c r="P85" i="26" s="1"/>
  <c r="M122" i="26"/>
  <c r="Q107" i="26"/>
  <c r="M87" i="26"/>
  <c r="O87" i="26"/>
  <c r="L87" i="26"/>
  <c r="Q122" i="26"/>
  <c r="P122" i="26"/>
  <c r="S122" i="26"/>
  <c r="L101" i="26"/>
  <c r="O101" i="26"/>
  <c r="K126" i="26"/>
  <c r="I126" i="26"/>
  <c r="H126" i="26"/>
  <c r="L98" i="26"/>
  <c r="L131" i="26"/>
  <c r="N131" i="26"/>
  <c r="I131" i="26"/>
  <c r="H106" i="26"/>
  <c r="K106" i="26"/>
  <c r="I106" i="26"/>
  <c r="O98" i="26"/>
  <c r="F103" i="26"/>
  <c r="O88" i="26"/>
  <c r="M98" i="26"/>
  <c r="N98" i="26" s="1"/>
  <c r="I101" i="26"/>
  <c r="J101" i="26" s="1"/>
  <c r="I99" i="26"/>
  <c r="F131" i="26"/>
  <c r="F80" i="26"/>
  <c r="H99" i="26"/>
  <c r="L120" i="26"/>
  <c r="N120" i="26" s="1"/>
  <c r="O120" i="26"/>
  <c r="I88" i="26"/>
  <c r="J88" i="26" s="1"/>
  <c r="O104" i="26"/>
  <c r="L122" i="26"/>
  <c r="T83" i="26"/>
  <c r="V83" i="26" s="1"/>
  <c r="I123" i="26"/>
  <c r="H98" i="26"/>
  <c r="J98" i="26" s="1"/>
  <c r="H82" i="26"/>
  <c r="J82" i="26" s="1"/>
  <c r="M104" i="26"/>
  <c r="N104" i="26" s="1"/>
  <c r="O86" i="26"/>
  <c r="M86" i="26"/>
  <c r="M123" i="26"/>
  <c r="L123" i="26"/>
  <c r="O84" i="26"/>
  <c r="M131" i="26"/>
  <c r="K125" i="26"/>
  <c r="H125" i="26"/>
  <c r="J125" i="26" s="1"/>
  <c r="H87" i="26"/>
  <c r="I87" i="26"/>
  <c r="I108" i="26"/>
  <c r="J108" i="26" s="1"/>
  <c r="I132" i="26"/>
  <c r="J132" i="26" s="1"/>
  <c r="S123" i="26"/>
  <c r="L99" i="26"/>
  <c r="N99" i="26" s="1"/>
  <c r="O127" i="26"/>
  <c r="M100" i="26"/>
  <c r="N100" i="26" s="1"/>
  <c r="O100" i="26"/>
  <c r="H128" i="26"/>
  <c r="I128" i="26"/>
  <c r="K128" i="26"/>
  <c r="K129" i="26"/>
  <c r="I129" i="26"/>
  <c r="J129" i="26" s="1"/>
  <c r="H81" i="26"/>
  <c r="I81" i="26"/>
  <c r="O132" i="26"/>
  <c r="O131" i="26"/>
  <c r="K81" i="26"/>
  <c r="I122" i="26"/>
  <c r="H122" i="26"/>
  <c r="H84" i="26"/>
  <c r="I84" i="26"/>
  <c r="O99" i="26"/>
  <c r="L83" i="26"/>
  <c r="M84" i="26"/>
  <c r="N84" i="26" s="1"/>
  <c r="H131" i="26"/>
  <c r="J104" i="26"/>
  <c r="K82" i="26"/>
  <c r="H103" i="26"/>
  <c r="J103" i="26" s="1"/>
  <c r="K103" i="26"/>
  <c r="F87" i="26"/>
  <c r="F84" i="26"/>
  <c r="M88" i="26"/>
  <c r="N88" i="26" s="1"/>
  <c r="H25" i="37"/>
  <c r="C20" i="36"/>
  <c r="E20" i="36"/>
  <c r="H24" i="37"/>
  <c r="D20" i="36"/>
  <c r="G24" i="37"/>
  <c r="B20" i="36"/>
  <c r="E24" i="37"/>
  <c r="F20" i="36"/>
  <c r="I24" i="37"/>
  <c r="AF20" i="28"/>
  <c r="AF16" i="28"/>
  <c r="AF12" i="28"/>
  <c r="AF24" i="28"/>
  <c r="F21" i="36"/>
  <c r="F19" i="36"/>
  <c r="F25" i="37"/>
  <c r="D12" i="37"/>
  <c r="D24" i="37"/>
  <c r="E59" i="4"/>
  <c r="R50" i="4"/>
  <c r="P50" i="4"/>
  <c r="R52" i="4"/>
  <c r="P52" i="4"/>
  <c r="R54" i="4"/>
  <c r="P54" i="4"/>
  <c r="R56" i="4"/>
  <c r="P56" i="4"/>
  <c r="F59" i="4"/>
  <c r="D59" i="4"/>
  <c r="C59" i="4"/>
  <c r="B102" i="4"/>
  <c r="S56" i="4"/>
  <c r="S54" i="4"/>
  <c r="S52" i="4"/>
  <c r="H8" i="29"/>
  <c r="H29" i="29" s="1"/>
  <c r="F12" i="19" l="1"/>
  <c r="F13" i="19"/>
  <c r="W56" i="1"/>
  <c r="W51" i="1"/>
  <c r="X51" i="1" s="1"/>
  <c r="W46" i="1"/>
  <c r="U46" i="1"/>
  <c r="S23" i="1"/>
  <c r="U50" i="1"/>
  <c r="S47" i="1"/>
  <c r="Q41" i="1"/>
  <c r="R41" i="1" s="1"/>
  <c r="S53" i="1"/>
  <c r="U53" i="1" s="1"/>
  <c r="Y43" i="1"/>
  <c r="R20" i="1"/>
  <c r="N12" i="1"/>
  <c r="S41" i="1"/>
  <c r="P47" i="1"/>
  <c r="D44" i="4" a="1"/>
  <c r="D44" i="4" s="1"/>
  <c r="D40" i="4" a="1"/>
  <c r="D40" i="4" s="1"/>
  <c r="D36" i="4" a="1"/>
  <c r="D36" i="4" s="1"/>
  <c r="D32" i="4" a="1"/>
  <c r="D32" i="4" s="1"/>
  <c r="D28" i="4" a="1"/>
  <c r="D28" i="4" s="1"/>
  <c r="D24" i="4" a="1"/>
  <c r="D24" i="4" s="1"/>
  <c r="D20" i="4" a="1"/>
  <c r="D20" i="4" s="1"/>
  <c r="D16" i="4" a="1"/>
  <c r="D16" i="4" s="1"/>
  <c r="D12" i="4" a="1"/>
  <c r="D12" i="4" s="1"/>
  <c r="D8" i="4" a="1"/>
  <c r="D8" i="4" s="1"/>
  <c r="Q11" i="1"/>
  <c r="P11" i="1"/>
  <c r="S11" i="1"/>
  <c r="X50" i="4"/>
  <c r="X59" i="4" s="1"/>
  <c r="G126" i="4" s="1"/>
  <c r="G36" i="30"/>
  <c r="G37" i="30"/>
  <c r="G33" i="30"/>
  <c r="G29" i="30"/>
  <c r="D26" i="30"/>
  <c r="G25" i="30"/>
  <c r="G21" i="30"/>
  <c r="G40" i="30"/>
  <c r="H40" i="30" s="1"/>
  <c r="E38" i="30"/>
  <c r="M59" i="4"/>
  <c r="F101" i="4" s="1"/>
  <c r="G59" i="4"/>
  <c r="Y59" i="4"/>
  <c r="F126" i="4" s="1"/>
  <c r="F128" i="4" s="1"/>
  <c r="L59" i="4"/>
  <c r="G101" i="4" s="1"/>
  <c r="G103" i="4" s="1"/>
  <c r="E7" i="37" s="1"/>
  <c r="S54" i="2"/>
  <c r="Q54" i="2"/>
  <c r="P54" i="2"/>
  <c r="R54" i="2"/>
  <c r="M42" i="2"/>
  <c r="N42" i="2" s="1"/>
  <c r="O42" i="2"/>
  <c r="L42" i="2"/>
  <c r="S60" i="2"/>
  <c r="P60" i="2"/>
  <c r="Q60" i="2"/>
  <c r="R60" i="2" s="1"/>
  <c r="Q108" i="24"/>
  <c r="P97" i="24"/>
  <c r="R97" i="24" s="1"/>
  <c r="R100" i="24" s="1"/>
  <c r="R50" i="1"/>
  <c r="P37" i="1"/>
  <c r="R37" i="1" s="1"/>
  <c r="L108" i="26"/>
  <c r="N108" i="26" s="1"/>
  <c r="J120" i="26"/>
  <c r="Q55" i="2"/>
  <c r="V75" i="2"/>
  <c r="J32" i="2"/>
  <c r="P55" i="2"/>
  <c r="R55" i="2" s="1"/>
  <c r="S23" i="2"/>
  <c r="Q23" i="2"/>
  <c r="P23" i="2"/>
  <c r="R23" i="2" s="1"/>
  <c r="M70" i="2"/>
  <c r="N70" i="2" s="1"/>
  <c r="O70" i="2"/>
  <c r="O66" i="2"/>
  <c r="M66" i="2"/>
  <c r="M19" i="2"/>
  <c r="O19" i="2"/>
  <c r="L19" i="2"/>
  <c r="R46" i="2"/>
  <c r="J31" i="2"/>
  <c r="T53" i="2"/>
  <c r="U53" i="2"/>
  <c r="L34" i="2"/>
  <c r="M34" i="2"/>
  <c r="N34" i="2" s="1"/>
  <c r="O34" i="2"/>
  <c r="S57" i="2"/>
  <c r="P57" i="2"/>
  <c r="Q57" i="2"/>
  <c r="Q39" i="2"/>
  <c r="P39" i="2"/>
  <c r="R39" i="2"/>
  <c r="S39" i="2"/>
  <c r="O29" i="2"/>
  <c r="L29" i="2"/>
  <c r="N29" i="2" s="1"/>
  <c r="S48" i="2"/>
  <c r="Q48" i="2"/>
  <c r="R48" i="2" s="1"/>
  <c r="S72" i="2"/>
  <c r="Q72" i="2"/>
  <c r="J131" i="26"/>
  <c r="O108" i="26"/>
  <c r="Q108" i="26" s="1"/>
  <c r="N126" i="24"/>
  <c r="L108" i="24"/>
  <c r="P108" i="24"/>
  <c r="R12" i="1"/>
  <c r="J16" i="2"/>
  <c r="N30" i="2"/>
  <c r="N12" i="2"/>
  <c r="O74" i="2"/>
  <c r="M74" i="2"/>
  <c r="L74" i="2"/>
  <c r="N74" i="2"/>
  <c r="O61" i="2"/>
  <c r="M61" i="2"/>
  <c r="L61" i="2"/>
  <c r="N61" i="2" s="1"/>
  <c r="M24" i="2"/>
  <c r="N24" i="2" s="1"/>
  <c r="O24" i="2"/>
  <c r="L24" i="2"/>
  <c r="P58" i="2"/>
  <c r="S58" i="2"/>
  <c r="Q58" i="2"/>
  <c r="J46" i="2"/>
  <c r="J51" i="2"/>
  <c r="L65" i="2"/>
  <c r="O65" i="2"/>
  <c r="M65" i="2"/>
  <c r="P9" i="2"/>
  <c r="R9" i="2" s="1"/>
  <c r="Q9" i="2"/>
  <c r="S9" i="2"/>
  <c r="J63" i="2"/>
  <c r="R53" i="2"/>
  <c r="U33" i="2"/>
  <c r="T33" i="2"/>
  <c r="V33" i="2" s="1"/>
  <c r="M97" i="24"/>
  <c r="L97" i="24"/>
  <c r="N97" i="24" s="1"/>
  <c r="N101" i="24" s="1"/>
  <c r="Z43" i="1"/>
  <c r="R21" i="1"/>
  <c r="J105" i="26"/>
  <c r="T55" i="2"/>
  <c r="V55" i="2" s="1"/>
  <c r="R72" i="2"/>
  <c r="U49" i="2"/>
  <c r="V49" i="2" s="1"/>
  <c r="N66" i="2"/>
  <c r="N13" i="2"/>
  <c r="S26" i="2"/>
  <c r="Q26" i="2"/>
  <c r="R26" i="2"/>
  <c r="P26" i="2"/>
  <c r="M31" i="2"/>
  <c r="O31" i="2"/>
  <c r="L31" i="2"/>
  <c r="N31" i="2" s="1"/>
  <c r="S10" i="2"/>
  <c r="Q10" i="2"/>
  <c r="P10" i="2"/>
  <c r="S67" i="2"/>
  <c r="P67" i="2"/>
  <c r="Q67" i="2"/>
  <c r="N48" i="2"/>
  <c r="M51" i="2"/>
  <c r="L51" i="2"/>
  <c r="S36" i="2"/>
  <c r="P36" i="2"/>
  <c r="Q36" i="2"/>
  <c r="N15" i="24"/>
  <c r="M63" i="2"/>
  <c r="L63" i="2"/>
  <c r="N63" i="2" s="1"/>
  <c r="O63" i="2"/>
  <c r="R33" i="2"/>
  <c r="N83" i="26"/>
  <c r="N87" i="26"/>
  <c r="M105" i="26"/>
  <c r="M65" i="24"/>
  <c r="W50" i="1"/>
  <c r="X50" i="1" s="1"/>
  <c r="Y51" i="1"/>
  <c r="Z51" i="1" s="1"/>
  <c r="W54" i="1"/>
  <c r="X54" i="1" s="1"/>
  <c r="O15" i="2"/>
  <c r="M15" i="2"/>
  <c r="L15" i="2"/>
  <c r="N15" i="2" s="1"/>
  <c r="S20" i="2"/>
  <c r="P20" i="2"/>
  <c r="R20" i="2" s="1"/>
  <c r="Q20" i="2"/>
  <c r="M22" i="2"/>
  <c r="O22" i="2"/>
  <c r="L22" i="2"/>
  <c r="N22" i="2" s="1"/>
  <c r="L71" i="2"/>
  <c r="N71" i="2" s="1"/>
  <c r="M71" i="2"/>
  <c r="O71" i="2"/>
  <c r="O41" i="2"/>
  <c r="L41" i="2"/>
  <c r="M41" i="2"/>
  <c r="T14" i="2"/>
  <c r="U14" i="2"/>
  <c r="L32" i="2"/>
  <c r="N32" i="2" s="1"/>
  <c r="O32" i="2"/>
  <c r="M32" i="2"/>
  <c r="S44" i="2"/>
  <c r="Q44" i="2"/>
  <c r="R44" i="2" s="1"/>
  <c r="P44" i="2"/>
  <c r="P30" i="2"/>
  <c r="S30" i="2"/>
  <c r="Q30" i="2"/>
  <c r="U13" i="2"/>
  <c r="T13" i="2"/>
  <c r="U76" i="2"/>
  <c r="T76" i="2"/>
  <c r="V76" i="2"/>
  <c r="O27" i="2"/>
  <c r="L27" i="2"/>
  <c r="M27" i="2"/>
  <c r="N27" i="2"/>
  <c r="Q51" i="2"/>
  <c r="P51" i="2"/>
  <c r="S51" i="2"/>
  <c r="P37" i="2"/>
  <c r="S37" i="2"/>
  <c r="Q37" i="2"/>
  <c r="T45" i="2"/>
  <c r="U45" i="2"/>
  <c r="V45" i="2" s="1"/>
  <c r="J122" i="26"/>
  <c r="N86" i="26"/>
  <c r="N122" i="26"/>
  <c r="Q130" i="26"/>
  <c r="P107" i="26"/>
  <c r="R107" i="26" s="1"/>
  <c r="P78" i="24"/>
  <c r="P66" i="24"/>
  <c r="L65" i="24"/>
  <c r="N65" i="24" s="1"/>
  <c r="J130" i="24"/>
  <c r="O25" i="24"/>
  <c r="N32" i="1"/>
  <c r="U56" i="1"/>
  <c r="V56" i="1" s="1"/>
  <c r="R46" i="1"/>
  <c r="V25" i="1"/>
  <c r="D41" i="30"/>
  <c r="L68" i="2"/>
  <c r="O68" i="2"/>
  <c r="M68" i="2"/>
  <c r="N40" i="2"/>
  <c r="M40" i="2"/>
  <c r="O40" i="2"/>
  <c r="L40" i="2"/>
  <c r="R43" i="2"/>
  <c r="P43" i="2"/>
  <c r="S43" i="2"/>
  <c r="Q43" i="2"/>
  <c r="M50" i="2"/>
  <c r="N50" i="2" s="1"/>
  <c r="O50" i="2"/>
  <c r="L50" i="2"/>
  <c r="S73" i="2"/>
  <c r="P73" i="2"/>
  <c r="R73" i="2" s="1"/>
  <c r="Q73" i="2"/>
  <c r="Q21" i="2"/>
  <c r="S21" i="2"/>
  <c r="P21" i="2"/>
  <c r="R21" i="2" s="1"/>
  <c r="S12" i="2"/>
  <c r="P12" i="2"/>
  <c r="Q12" i="2"/>
  <c r="O59" i="2"/>
  <c r="L59" i="2"/>
  <c r="N59" i="2" s="1"/>
  <c r="M59" i="2"/>
  <c r="V50" i="1"/>
  <c r="L80" i="26"/>
  <c r="N80" i="26" s="1"/>
  <c r="O80" i="26"/>
  <c r="S78" i="24"/>
  <c r="S66" i="24"/>
  <c r="M61" i="24"/>
  <c r="N93" i="24"/>
  <c r="J66" i="24"/>
  <c r="J68" i="24" s="1"/>
  <c r="V38" i="1"/>
  <c r="F41" i="30"/>
  <c r="L16" i="2"/>
  <c r="O16" i="2"/>
  <c r="M16" i="2"/>
  <c r="J33" i="2"/>
  <c r="J53" i="2"/>
  <c r="E25" i="37"/>
  <c r="G21" i="36"/>
  <c r="I25" i="37"/>
  <c r="D42" i="30"/>
  <c r="F38" i="30"/>
  <c r="F42" i="30"/>
  <c r="E41" i="30"/>
  <c r="E30" i="30"/>
  <c r="E42" i="30"/>
  <c r="E34" i="30"/>
  <c r="F34" i="30"/>
  <c r="D29" i="28"/>
  <c r="D30" i="30"/>
  <c r="C26" i="30"/>
  <c r="D38" i="30"/>
  <c r="D34" i="30"/>
  <c r="F30" i="30"/>
  <c r="F26" i="30"/>
  <c r="E26" i="30"/>
  <c r="F22" i="30"/>
  <c r="E22" i="30"/>
  <c r="D22" i="30"/>
  <c r="R56" i="1"/>
  <c r="R47" i="1"/>
  <c r="N22" i="1"/>
  <c r="R28" i="1"/>
  <c r="J81" i="26"/>
  <c r="J107" i="26"/>
  <c r="N123" i="26"/>
  <c r="R122" i="26"/>
  <c r="N105" i="26"/>
  <c r="J83" i="26"/>
  <c r="N101" i="26"/>
  <c r="R78" i="24"/>
  <c r="R66" i="24"/>
  <c r="J123" i="24"/>
  <c r="J64" i="24"/>
  <c r="J131" i="24"/>
  <c r="N62" i="24"/>
  <c r="J21" i="24"/>
  <c r="N66" i="24"/>
  <c r="N71" i="24" s="1"/>
  <c r="P12" i="28"/>
  <c r="D14" i="28"/>
  <c r="D13" i="28"/>
  <c r="Q8" i="28"/>
  <c r="Q28" i="28" s="1"/>
  <c r="B57" i="28" s="1"/>
  <c r="D9" i="28"/>
  <c r="D10" i="28"/>
  <c r="P16" i="28"/>
  <c r="D17" i="28"/>
  <c r="D18" i="28"/>
  <c r="D23" i="28"/>
  <c r="D27" i="28"/>
  <c r="AE8" i="28"/>
  <c r="S50" i="4"/>
  <c r="S59" i="4" s="1"/>
  <c r="F113" i="4" s="1"/>
  <c r="G8" i="37" s="1"/>
  <c r="Y25" i="1"/>
  <c r="X25" i="1"/>
  <c r="R38" i="1"/>
  <c r="N46" i="1"/>
  <c r="Q53" i="1"/>
  <c r="R53" i="1" s="1"/>
  <c r="Q17" i="1"/>
  <c r="V20" i="1"/>
  <c r="P23" i="1"/>
  <c r="U24" i="1"/>
  <c r="S49" i="1"/>
  <c r="P49" i="1"/>
  <c r="T24" i="1"/>
  <c r="Q23" i="1"/>
  <c r="P30" i="1"/>
  <c r="Q30" i="1"/>
  <c r="S30" i="1"/>
  <c r="N48" i="1"/>
  <c r="T54" i="1"/>
  <c r="V54" i="1" s="1"/>
  <c r="R42" i="1"/>
  <c r="N56" i="1"/>
  <c r="N55" i="1"/>
  <c r="R55" i="1"/>
  <c r="N45" i="1"/>
  <c r="Q49" i="1"/>
  <c r="P17" i="1"/>
  <c r="N13" i="1"/>
  <c r="T27" i="1"/>
  <c r="W27" i="1"/>
  <c r="U27" i="1"/>
  <c r="Q16" i="1"/>
  <c r="R16" i="1" s="1"/>
  <c r="S16" i="1"/>
  <c r="N21" i="1"/>
  <c r="V46" i="1"/>
  <c r="U28" i="1"/>
  <c r="V28" i="1" s="1"/>
  <c r="W28" i="1"/>
  <c r="Y28" i="1" s="1"/>
  <c r="S40" i="1"/>
  <c r="P40" i="1"/>
  <c r="R40" i="1" s="1"/>
  <c r="X42" i="1"/>
  <c r="Z42" i="1" s="1"/>
  <c r="N41" i="1"/>
  <c r="P33" i="1"/>
  <c r="S33" i="1"/>
  <c r="Q33" i="1"/>
  <c r="X46" i="1"/>
  <c r="Y46" i="1"/>
  <c r="P31" i="1"/>
  <c r="Q31" i="1"/>
  <c r="S31" i="1"/>
  <c r="S29" i="1"/>
  <c r="Q29" i="1"/>
  <c r="P29" i="1"/>
  <c r="Q39" i="1"/>
  <c r="S39" i="1"/>
  <c r="P39" i="1"/>
  <c r="Q19" i="1"/>
  <c r="S19" i="1"/>
  <c r="P19" i="1"/>
  <c r="Q22" i="1"/>
  <c r="P22" i="1"/>
  <c r="S22" i="1"/>
  <c r="Q48" i="1"/>
  <c r="S48" i="1"/>
  <c r="P48" i="1"/>
  <c r="Q57" i="1"/>
  <c r="S57" i="1"/>
  <c r="P57" i="1"/>
  <c r="S13" i="1"/>
  <c r="Q13" i="1"/>
  <c r="P13" i="1"/>
  <c r="T41" i="1"/>
  <c r="U41" i="1"/>
  <c r="W41" i="1"/>
  <c r="W14" i="1"/>
  <c r="T14" i="1"/>
  <c r="U14" i="1"/>
  <c r="Q58" i="1"/>
  <c r="P58" i="1"/>
  <c r="S59" i="1"/>
  <c r="S58" i="1"/>
  <c r="T47" i="1"/>
  <c r="W47" i="1"/>
  <c r="U47" i="1"/>
  <c r="W52" i="1"/>
  <c r="U51" i="1"/>
  <c r="T51" i="1"/>
  <c r="Y50" i="1"/>
  <c r="T17" i="1"/>
  <c r="U17" i="1"/>
  <c r="W17" i="1"/>
  <c r="U12" i="1"/>
  <c r="T12" i="1"/>
  <c r="W12" i="1"/>
  <c r="X56" i="1"/>
  <c r="Y56" i="1"/>
  <c r="X26" i="1"/>
  <c r="Y26" i="1"/>
  <c r="U21" i="1"/>
  <c r="T21" i="1"/>
  <c r="W21" i="1"/>
  <c r="S18" i="1"/>
  <c r="Q18" i="1"/>
  <c r="P18" i="1"/>
  <c r="N15" i="1"/>
  <c r="W44" i="1"/>
  <c r="T43" i="1"/>
  <c r="U43" i="1"/>
  <c r="X55" i="1"/>
  <c r="Y55" i="1"/>
  <c r="P34" i="1"/>
  <c r="S35" i="1"/>
  <c r="S34" i="1"/>
  <c r="Q34" i="1"/>
  <c r="Q15" i="1"/>
  <c r="S15" i="1"/>
  <c r="P15" i="1"/>
  <c r="U23" i="1"/>
  <c r="W24" i="1"/>
  <c r="T23" i="1"/>
  <c r="S45" i="1"/>
  <c r="P45" i="1"/>
  <c r="Q45" i="1"/>
  <c r="R45" i="1" s="1"/>
  <c r="W10" i="1"/>
  <c r="T10" i="1"/>
  <c r="U10" i="1"/>
  <c r="P32" i="1"/>
  <c r="Q32" i="1"/>
  <c r="S32" i="1"/>
  <c r="T37" i="1"/>
  <c r="W37" i="1"/>
  <c r="U37" i="1"/>
  <c r="Y54" i="1"/>
  <c r="N132" i="24"/>
  <c r="N145" i="24" s="1"/>
  <c r="J126" i="24"/>
  <c r="R126" i="24"/>
  <c r="O106" i="24"/>
  <c r="M107" i="24"/>
  <c r="N107" i="24" s="1"/>
  <c r="O107" i="24"/>
  <c r="Q107" i="24" s="1"/>
  <c r="N108" i="24"/>
  <c r="J93" i="24"/>
  <c r="J95" i="24"/>
  <c r="N77" i="24"/>
  <c r="J79" i="24"/>
  <c r="N82" i="24"/>
  <c r="N85" i="24" s="1"/>
  <c r="J81" i="24"/>
  <c r="L49" i="24"/>
  <c r="M49" i="24"/>
  <c r="N40" i="24"/>
  <c r="N43" i="24" s="1"/>
  <c r="J38" i="24"/>
  <c r="J18" i="24"/>
  <c r="J15" i="24"/>
  <c r="J22" i="24"/>
  <c r="J20" i="24"/>
  <c r="J17" i="24"/>
  <c r="J27" i="24"/>
  <c r="J28" i="24"/>
  <c r="J29" i="24" s="1"/>
  <c r="T27" i="24"/>
  <c r="V27" i="24" s="1"/>
  <c r="W27" i="24"/>
  <c r="X27" i="24" s="1"/>
  <c r="J23" i="24"/>
  <c r="P27" i="24"/>
  <c r="Q15" i="24"/>
  <c r="R15" i="24" s="1"/>
  <c r="S15" i="24"/>
  <c r="U15" i="24" s="1"/>
  <c r="N32" i="24"/>
  <c r="N33" i="24"/>
  <c r="N34" i="24"/>
  <c r="N31" i="24"/>
  <c r="N29" i="24"/>
  <c r="N30" i="24"/>
  <c r="N69" i="24"/>
  <c r="W123" i="24"/>
  <c r="X123" i="24" s="1"/>
  <c r="J133" i="24"/>
  <c r="J69" i="24"/>
  <c r="J72" i="24"/>
  <c r="E16" i="28" s="1" a="1"/>
  <c r="E16" i="28" s="1"/>
  <c r="J140" i="24"/>
  <c r="J67" i="24"/>
  <c r="J71" i="24"/>
  <c r="J63" i="24"/>
  <c r="J135" i="24"/>
  <c r="P123" i="24"/>
  <c r="O125" i="24"/>
  <c r="Q125" i="24" s="1"/>
  <c r="J40" i="24"/>
  <c r="J46" i="24" s="1"/>
  <c r="Q123" i="24"/>
  <c r="L125" i="24"/>
  <c r="N125" i="24" s="1"/>
  <c r="J120" i="24"/>
  <c r="Q27" i="24"/>
  <c r="N38" i="24"/>
  <c r="T123" i="24"/>
  <c r="V123" i="24" s="1"/>
  <c r="J128" i="24"/>
  <c r="R108" i="24"/>
  <c r="L48" i="24"/>
  <c r="O48" i="24"/>
  <c r="M48" i="24"/>
  <c r="J73" i="24"/>
  <c r="J47" i="24"/>
  <c r="J103" i="24"/>
  <c r="J99" i="24"/>
  <c r="J98" i="24"/>
  <c r="J70" i="24"/>
  <c r="N79" i="24"/>
  <c r="N61" i="24"/>
  <c r="J60" i="24"/>
  <c r="J102" i="24"/>
  <c r="R14" i="24"/>
  <c r="G20" i="28" s="1" a="1"/>
  <c r="G20" i="28" s="1"/>
  <c r="J104" i="24"/>
  <c r="J105" i="24"/>
  <c r="J100" i="24"/>
  <c r="J94" i="24"/>
  <c r="J74" i="24"/>
  <c r="L25" i="24"/>
  <c r="N25" i="24" s="1"/>
  <c r="Q28" i="24"/>
  <c r="R28" i="24" s="1"/>
  <c r="R30" i="24" s="1"/>
  <c r="S28" i="24"/>
  <c r="J57" i="24"/>
  <c r="J54" i="24"/>
  <c r="E12" i="28" s="1" a="1"/>
  <c r="E12" i="28" s="1"/>
  <c r="J53" i="24"/>
  <c r="J55" i="24"/>
  <c r="J58" i="24"/>
  <c r="E8" i="28" s="1" a="1"/>
  <c r="E8" i="28" s="1"/>
  <c r="J56" i="24"/>
  <c r="J35" i="24"/>
  <c r="S60" i="24"/>
  <c r="U60" i="24" s="1"/>
  <c r="P132" i="24"/>
  <c r="S132" i="24"/>
  <c r="P95" i="24"/>
  <c r="P60" i="24"/>
  <c r="R60" i="24" s="1"/>
  <c r="G8" i="28" s="1" a="1"/>
  <c r="G8" i="28" s="1"/>
  <c r="W95" i="24"/>
  <c r="Y95" i="24" s="1"/>
  <c r="J80" i="24"/>
  <c r="Q132" i="24"/>
  <c r="J111" i="24"/>
  <c r="J117" i="24" s="1"/>
  <c r="N51" i="24"/>
  <c r="N50" i="24"/>
  <c r="J142" i="24"/>
  <c r="J143" i="24"/>
  <c r="O52" i="24"/>
  <c r="L52" i="24"/>
  <c r="M52" i="24"/>
  <c r="P38" i="24"/>
  <c r="R38" i="24" s="1"/>
  <c r="S38" i="24"/>
  <c r="M13" i="24"/>
  <c r="O13" i="24"/>
  <c r="L13" i="24"/>
  <c r="J136" i="24"/>
  <c r="Q95" i="24"/>
  <c r="J138" i="24"/>
  <c r="N131" i="24"/>
  <c r="J141" i="24"/>
  <c r="E20" i="28" a="1"/>
  <c r="E20" i="28" s="1"/>
  <c r="J145" i="24"/>
  <c r="M26" i="24"/>
  <c r="O26" i="24"/>
  <c r="L26" i="24"/>
  <c r="M75" i="24"/>
  <c r="L75" i="24"/>
  <c r="O75" i="24"/>
  <c r="N95" i="24"/>
  <c r="T95" i="24"/>
  <c r="V95" i="24" s="1"/>
  <c r="J137" i="24"/>
  <c r="M129" i="24"/>
  <c r="N129" i="24" s="1"/>
  <c r="O129" i="24"/>
  <c r="M16" i="24"/>
  <c r="O16" i="24"/>
  <c r="L16" i="24"/>
  <c r="R27" i="24"/>
  <c r="J144" i="24"/>
  <c r="S119" i="24"/>
  <c r="Q119" i="24"/>
  <c r="R119" i="24" s="1"/>
  <c r="S93" i="24"/>
  <c r="Q93" i="24"/>
  <c r="P93" i="24"/>
  <c r="E24" i="28" a="1"/>
  <c r="E24" i="28" s="1"/>
  <c r="N96" i="24"/>
  <c r="J134" i="24"/>
  <c r="M106" i="24"/>
  <c r="N106" i="24" s="1"/>
  <c r="N119" i="24"/>
  <c r="N105" i="24"/>
  <c r="N115" i="24"/>
  <c r="N112" i="24"/>
  <c r="N117" i="24"/>
  <c r="N116" i="24"/>
  <c r="N113" i="24"/>
  <c r="N114" i="24"/>
  <c r="N118" i="24"/>
  <c r="R102" i="24"/>
  <c r="R103" i="24"/>
  <c r="N83" i="24"/>
  <c r="N87" i="24"/>
  <c r="N89" i="24"/>
  <c r="N86" i="24"/>
  <c r="L36" i="24"/>
  <c r="M36" i="24"/>
  <c r="O36" i="24"/>
  <c r="M109" i="24"/>
  <c r="L109" i="24"/>
  <c r="O109" i="24"/>
  <c r="Q106" i="24"/>
  <c r="P106" i="24"/>
  <c r="S106" i="24"/>
  <c r="N45" i="24"/>
  <c r="N46" i="24"/>
  <c r="N41" i="24"/>
  <c r="J89" i="24"/>
  <c r="J85" i="24"/>
  <c r="J86" i="24"/>
  <c r="J87" i="24"/>
  <c r="J84" i="24"/>
  <c r="J88" i="24"/>
  <c r="J90" i="24"/>
  <c r="J83" i="24"/>
  <c r="O47" i="24"/>
  <c r="L47" i="24"/>
  <c r="M47" i="24"/>
  <c r="N140" i="24"/>
  <c r="N144" i="24"/>
  <c r="N134" i="24"/>
  <c r="N133" i="24"/>
  <c r="N137" i="24"/>
  <c r="N136" i="24"/>
  <c r="N135" i="24"/>
  <c r="W126" i="24"/>
  <c r="U126" i="24"/>
  <c r="T126" i="24"/>
  <c r="P24" i="24"/>
  <c r="Q24" i="24"/>
  <c r="S24" i="24"/>
  <c r="N12" i="24"/>
  <c r="O127" i="24"/>
  <c r="M127" i="24"/>
  <c r="L127" i="24"/>
  <c r="S40" i="24"/>
  <c r="P40" i="24"/>
  <c r="Q40" i="24"/>
  <c r="L121" i="24"/>
  <c r="O121" i="24"/>
  <c r="M121" i="24"/>
  <c r="M122" i="24"/>
  <c r="L122" i="24"/>
  <c r="N122" i="24" s="1"/>
  <c r="O122" i="24"/>
  <c r="S111" i="24"/>
  <c r="Q111" i="24"/>
  <c r="P111" i="24"/>
  <c r="L11" i="24"/>
  <c r="O11" i="24"/>
  <c r="M11" i="24"/>
  <c r="O130" i="24"/>
  <c r="L130" i="24"/>
  <c r="M130" i="24"/>
  <c r="Q25" i="24"/>
  <c r="P25" i="24"/>
  <c r="S25" i="24"/>
  <c r="O37" i="24"/>
  <c r="L37" i="24"/>
  <c r="M37" i="24"/>
  <c r="P61" i="24"/>
  <c r="S61" i="24"/>
  <c r="Q61" i="24"/>
  <c r="O76" i="24"/>
  <c r="L76" i="24"/>
  <c r="M76" i="24"/>
  <c r="Q39" i="24"/>
  <c r="S39" i="24"/>
  <c r="P39" i="24"/>
  <c r="O59" i="24"/>
  <c r="L59" i="24"/>
  <c r="M59" i="24"/>
  <c r="S96" i="24"/>
  <c r="P96" i="24"/>
  <c r="Q96" i="24"/>
  <c r="W14" i="24"/>
  <c r="U14" i="24"/>
  <c r="T14" i="24"/>
  <c r="M91" i="24"/>
  <c r="L91" i="24"/>
  <c r="O91" i="24"/>
  <c r="Q50" i="24"/>
  <c r="P50" i="24"/>
  <c r="S50" i="24"/>
  <c r="P65" i="24"/>
  <c r="S65" i="24"/>
  <c r="Q65" i="24"/>
  <c r="P49" i="24"/>
  <c r="S49" i="24"/>
  <c r="Q49" i="24"/>
  <c r="P80" i="24"/>
  <c r="Q80" i="24"/>
  <c r="S80" i="24"/>
  <c r="W78" i="24"/>
  <c r="U78" i="24"/>
  <c r="T78" i="24"/>
  <c r="V78" i="24" s="1"/>
  <c r="P107" i="24"/>
  <c r="S131" i="24"/>
  <c r="Q131" i="24"/>
  <c r="P131" i="24"/>
  <c r="L64" i="24"/>
  <c r="O64" i="24"/>
  <c r="M64" i="24"/>
  <c r="P51" i="24"/>
  <c r="Q51" i="24"/>
  <c r="R51" i="24" s="1"/>
  <c r="S51" i="24"/>
  <c r="S79" i="24"/>
  <c r="Q79" i="24"/>
  <c r="P79" i="24"/>
  <c r="R79" i="24" s="1"/>
  <c r="S82" i="24"/>
  <c r="P82" i="24"/>
  <c r="Q82" i="24"/>
  <c r="T62" i="24"/>
  <c r="U62" i="24"/>
  <c r="W62" i="24"/>
  <c r="O63" i="24"/>
  <c r="L63" i="24"/>
  <c r="M63" i="24"/>
  <c r="O120" i="24"/>
  <c r="L120" i="24"/>
  <c r="M120" i="24"/>
  <c r="N120" i="24" s="1"/>
  <c r="O35" i="24"/>
  <c r="M35" i="24"/>
  <c r="L35" i="24"/>
  <c r="R69" i="24"/>
  <c r="R70" i="24"/>
  <c r="R73" i="24"/>
  <c r="R74" i="24"/>
  <c r="R71" i="24"/>
  <c r="R67" i="24"/>
  <c r="R68" i="24"/>
  <c r="R72" i="24"/>
  <c r="Q110" i="24"/>
  <c r="P110" i="24"/>
  <c r="S110" i="24"/>
  <c r="W66" i="24"/>
  <c r="T66" i="24"/>
  <c r="U66" i="24"/>
  <c r="L128" i="24"/>
  <c r="M128" i="24"/>
  <c r="O128" i="24"/>
  <c r="M81" i="24"/>
  <c r="O81" i="24"/>
  <c r="L81" i="24"/>
  <c r="L124" i="24"/>
  <c r="M124" i="24"/>
  <c r="O124" i="24"/>
  <c r="L94" i="24"/>
  <c r="O94" i="24"/>
  <c r="M94" i="24"/>
  <c r="S23" i="24"/>
  <c r="P23" i="24"/>
  <c r="Q23" i="24"/>
  <c r="P12" i="24"/>
  <c r="Q12" i="24"/>
  <c r="S12" i="24"/>
  <c r="W15" i="24"/>
  <c r="U97" i="24"/>
  <c r="T97" i="24"/>
  <c r="V97" i="24" s="1"/>
  <c r="W97" i="24"/>
  <c r="S105" i="24"/>
  <c r="Q105" i="24"/>
  <c r="P105" i="24"/>
  <c r="R105" i="24" s="1"/>
  <c r="W108" i="24"/>
  <c r="T108" i="24"/>
  <c r="U108" i="24"/>
  <c r="N14" i="24"/>
  <c r="M92" i="24"/>
  <c r="O92" i="24"/>
  <c r="L92" i="24"/>
  <c r="N92" i="24"/>
  <c r="S77" i="24"/>
  <c r="Q77" i="24"/>
  <c r="P77" i="24"/>
  <c r="P105" i="26"/>
  <c r="R105" i="26" s="1"/>
  <c r="L85" i="26"/>
  <c r="S105" i="26"/>
  <c r="T105" i="26" s="1"/>
  <c r="N127" i="26"/>
  <c r="Q85" i="26"/>
  <c r="R85" i="26" s="1"/>
  <c r="Q121" i="26"/>
  <c r="S121" i="26"/>
  <c r="P121" i="26"/>
  <c r="J84" i="26"/>
  <c r="S85" i="26"/>
  <c r="T85" i="26" s="1"/>
  <c r="M132" i="26"/>
  <c r="L132" i="26"/>
  <c r="P130" i="26"/>
  <c r="R130" i="26" s="1"/>
  <c r="J123" i="26"/>
  <c r="W83" i="26"/>
  <c r="M85" i="26"/>
  <c r="J99" i="26"/>
  <c r="Q102" i="26"/>
  <c r="R102" i="26" s="1"/>
  <c r="S102" i="26"/>
  <c r="U102" i="26" s="1"/>
  <c r="M124" i="26"/>
  <c r="L124" i="26"/>
  <c r="O124" i="26"/>
  <c r="M130" i="26"/>
  <c r="L130" i="26"/>
  <c r="J106" i="26"/>
  <c r="J126" i="26"/>
  <c r="N90" i="26"/>
  <c r="N91" i="26"/>
  <c r="N94" i="26"/>
  <c r="N97" i="26"/>
  <c r="N89" i="26"/>
  <c r="N93" i="26"/>
  <c r="N96" i="26"/>
  <c r="N92" i="26"/>
  <c r="N95" i="26"/>
  <c r="S84" i="26"/>
  <c r="Q84" i="26"/>
  <c r="P84" i="26"/>
  <c r="S131" i="26"/>
  <c r="P131" i="26"/>
  <c r="Q131" i="26"/>
  <c r="M126" i="26"/>
  <c r="L126" i="26"/>
  <c r="O126" i="26"/>
  <c r="P104" i="26"/>
  <c r="S104" i="26"/>
  <c r="Q104" i="26"/>
  <c r="T122" i="26"/>
  <c r="U122" i="26"/>
  <c r="P86" i="26"/>
  <c r="Q86" i="26"/>
  <c r="S86" i="26"/>
  <c r="J128" i="26"/>
  <c r="J91" i="26"/>
  <c r="J94" i="26"/>
  <c r="J97" i="26"/>
  <c r="J89" i="26"/>
  <c r="J90" i="26"/>
  <c r="J95" i="26"/>
  <c r="J96" i="26"/>
  <c r="J92" i="26"/>
  <c r="J93" i="26"/>
  <c r="J135" i="26"/>
  <c r="J138" i="26"/>
  <c r="J141" i="26"/>
  <c r="J144" i="26"/>
  <c r="J147" i="26"/>
  <c r="J150" i="26"/>
  <c r="J153" i="26"/>
  <c r="J156" i="26"/>
  <c r="J159" i="26"/>
  <c r="J162" i="26"/>
  <c r="J165" i="26"/>
  <c r="J168" i="26"/>
  <c r="J134" i="26"/>
  <c r="J137" i="26"/>
  <c r="J140" i="26"/>
  <c r="J143" i="26"/>
  <c r="J146" i="26"/>
  <c r="J149" i="26"/>
  <c r="J152" i="26"/>
  <c r="J155" i="26"/>
  <c r="J158" i="26"/>
  <c r="J161" i="26"/>
  <c r="J164" i="26"/>
  <c r="J167" i="26"/>
  <c r="J170" i="26"/>
  <c r="J133" i="26"/>
  <c r="J136" i="26"/>
  <c r="J142" i="26"/>
  <c r="J148" i="26"/>
  <c r="J154" i="26"/>
  <c r="J160" i="26"/>
  <c r="J166" i="26"/>
  <c r="J139" i="26"/>
  <c r="J145" i="26"/>
  <c r="J151" i="26"/>
  <c r="J157" i="26"/>
  <c r="J163" i="26"/>
  <c r="J169" i="26"/>
  <c r="L106" i="26"/>
  <c r="M106" i="26"/>
  <c r="O106" i="26"/>
  <c r="O81" i="26"/>
  <c r="M81" i="26"/>
  <c r="L81" i="26"/>
  <c r="S88" i="26"/>
  <c r="P88" i="26"/>
  <c r="Q88" i="26"/>
  <c r="Q87" i="26"/>
  <c r="S87" i="26"/>
  <c r="P87" i="26"/>
  <c r="Q99" i="26"/>
  <c r="P99" i="26"/>
  <c r="S99" i="26"/>
  <c r="P108" i="26"/>
  <c r="J87" i="26"/>
  <c r="L103" i="26"/>
  <c r="M103" i="26"/>
  <c r="O103" i="26"/>
  <c r="N110" i="26"/>
  <c r="N111" i="26"/>
  <c r="N114" i="26"/>
  <c r="N117" i="26"/>
  <c r="N109" i="26"/>
  <c r="N112" i="26"/>
  <c r="N118" i="26"/>
  <c r="N113" i="26"/>
  <c r="N119" i="26"/>
  <c r="N115" i="26"/>
  <c r="N116" i="26"/>
  <c r="Q100" i="26"/>
  <c r="P100" i="26"/>
  <c r="S100" i="26"/>
  <c r="L125" i="26"/>
  <c r="O125" i="26"/>
  <c r="M125" i="26"/>
  <c r="T130" i="26"/>
  <c r="U130" i="26"/>
  <c r="V130" i="26" s="1"/>
  <c r="L82" i="26"/>
  <c r="O82" i="26"/>
  <c r="M82" i="26"/>
  <c r="Q127" i="26"/>
  <c r="S127" i="26"/>
  <c r="P127" i="26"/>
  <c r="X83" i="26"/>
  <c r="T107" i="26"/>
  <c r="U107" i="26"/>
  <c r="J111" i="26"/>
  <c r="J114" i="26"/>
  <c r="J117" i="26"/>
  <c r="J110" i="26"/>
  <c r="J113" i="26"/>
  <c r="J116" i="26"/>
  <c r="J119" i="26"/>
  <c r="J112" i="26"/>
  <c r="J118" i="26"/>
  <c r="J109" i="26"/>
  <c r="J115" i="26"/>
  <c r="S132" i="26"/>
  <c r="P132" i="26"/>
  <c r="Q132" i="26"/>
  <c r="R132" i="26"/>
  <c r="P120" i="26"/>
  <c r="S120" i="26"/>
  <c r="Q120" i="26"/>
  <c r="P98" i="26"/>
  <c r="Q98" i="26"/>
  <c r="S98" i="26"/>
  <c r="U105" i="26"/>
  <c r="P101" i="26"/>
  <c r="Q101" i="26"/>
  <c r="S101" i="26"/>
  <c r="M128" i="26"/>
  <c r="O128" i="26"/>
  <c r="L128" i="26"/>
  <c r="L129" i="26"/>
  <c r="M129" i="26"/>
  <c r="O129" i="26"/>
  <c r="U123" i="26"/>
  <c r="T123" i="26"/>
  <c r="G20" i="36"/>
  <c r="G121" i="4"/>
  <c r="H7" i="37"/>
  <c r="G109" i="4"/>
  <c r="F7" i="37"/>
  <c r="F121" i="4"/>
  <c r="H8" i="37"/>
  <c r="B71" i="29"/>
  <c r="B79" i="29"/>
  <c r="B57" i="29"/>
  <c r="B64" i="29"/>
  <c r="B87" i="29"/>
  <c r="C19" i="36"/>
  <c r="G19" i="36" s="1"/>
  <c r="D25" i="37"/>
  <c r="H119" i="4"/>
  <c r="F103" i="4"/>
  <c r="E8" i="37" s="1"/>
  <c r="P59" i="4"/>
  <c r="F107" i="4" s="1"/>
  <c r="F8" i="37" s="1"/>
  <c r="R59" i="4"/>
  <c r="G113" i="4" s="1"/>
  <c r="E102" i="4"/>
  <c r="E103" i="4" s="1"/>
  <c r="D102" i="4"/>
  <c r="D103" i="4" s="1"/>
  <c r="C102" i="4"/>
  <c r="B103" i="4"/>
  <c r="Z50" i="1" l="1"/>
  <c r="D29" i="4"/>
  <c r="D30" i="4"/>
  <c r="D45" i="4"/>
  <c r="D46" i="4"/>
  <c r="V23" i="1"/>
  <c r="W53" i="1"/>
  <c r="V14" i="1"/>
  <c r="X28" i="1"/>
  <c r="R29" i="1"/>
  <c r="R30" i="1"/>
  <c r="R11" i="1"/>
  <c r="D17" i="4"/>
  <c r="D18" i="4"/>
  <c r="D34" i="4"/>
  <c r="D33" i="4"/>
  <c r="D14" i="4"/>
  <c r="D13" i="4"/>
  <c r="T53" i="1"/>
  <c r="D22" i="4"/>
  <c r="D21" i="4"/>
  <c r="D38" i="4"/>
  <c r="D37" i="4"/>
  <c r="W11" i="1"/>
  <c r="U11" i="1"/>
  <c r="T11" i="1"/>
  <c r="B108" i="4"/>
  <c r="D108" i="4" s="1"/>
  <c r="D109" i="4" s="1"/>
  <c r="E44" i="4" a="1"/>
  <c r="E44" i="4" s="1"/>
  <c r="E40" i="4" a="1"/>
  <c r="E40" i="4" s="1"/>
  <c r="E36" i="4" a="1"/>
  <c r="E36" i="4" s="1"/>
  <c r="E32" i="4" a="1"/>
  <c r="E32" i="4" s="1"/>
  <c r="E28" i="4" a="1"/>
  <c r="E28" i="4" s="1"/>
  <c r="E24" i="4" a="1"/>
  <c r="E24" i="4" s="1"/>
  <c r="E20" i="4" a="1"/>
  <c r="E20" i="4" s="1"/>
  <c r="E16" i="4" a="1"/>
  <c r="E16" i="4" s="1"/>
  <c r="E12" i="4" a="1"/>
  <c r="E12" i="4" s="1"/>
  <c r="E8" i="4" a="1"/>
  <c r="E8" i="4" s="1"/>
  <c r="D10" i="4"/>
  <c r="D9" i="4"/>
  <c r="D62" i="4"/>
  <c r="D26" i="4"/>
  <c r="D25" i="4"/>
  <c r="D42" i="4"/>
  <c r="D41" i="4"/>
  <c r="G38" i="30"/>
  <c r="G34" i="30"/>
  <c r="G30" i="30"/>
  <c r="G26" i="30"/>
  <c r="G22" i="30"/>
  <c r="G42" i="30"/>
  <c r="H42" i="30" s="1"/>
  <c r="G41" i="30"/>
  <c r="I8" i="37"/>
  <c r="H101" i="4"/>
  <c r="T67" i="2"/>
  <c r="U67" i="2"/>
  <c r="V67" i="2"/>
  <c r="T39" i="2"/>
  <c r="U39" i="2"/>
  <c r="T54" i="2"/>
  <c r="U54" i="2"/>
  <c r="V54" i="2" s="1"/>
  <c r="S108" i="26"/>
  <c r="T108" i="26" s="1"/>
  <c r="S107" i="24"/>
  <c r="N127" i="24"/>
  <c r="R99" i="24"/>
  <c r="R98" i="24"/>
  <c r="N70" i="24"/>
  <c r="R18" i="1"/>
  <c r="R36" i="2"/>
  <c r="P31" i="2"/>
  <c r="R31" i="2" s="1"/>
  <c r="Q31" i="2"/>
  <c r="S31" i="2"/>
  <c r="T48" i="2"/>
  <c r="V48" i="2" s="1"/>
  <c r="U48" i="2"/>
  <c r="R57" i="2"/>
  <c r="T15" i="24"/>
  <c r="Y27" i="24"/>
  <c r="Z27" i="24" s="1"/>
  <c r="N121" i="24"/>
  <c r="R104" i="24"/>
  <c r="R101" i="24"/>
  <c r="V17" i="1"/>
  <c r="R19" i="1"/>
  <c r="Z25" i="1"/>
  <c r="R12" i="2"/>
  <c r="R30" i="2"/>
  <c r="V14" i="2"/>
  <c r="T36" i="2"/>
  <c r="U36" i="2"/>
  <c r="V36" i="2" s="1"/>
  <c r="R10" i="2"/>
  <c r="T26" i="2"/>
  <c r="U26" i="2"/>
  <c r="V26" i="2"/>
  <c r="U9" i="2"/>
  <c r="T9" i="2"/>
  <c r="S65" i="2"/>
  <c r="Q65" i="2"/>
  <c r="P65" i="2"/>
  <c r="R65" i="2" s="1"/>
  <c r="R58" i="2"/>
  <c r="U57" i="2"/>
  <c r="T57" i="2"/>
  <c r="V57" i="2"/>
  <c r="N19" i="2"/>
  <c r="S66" i="2"/>
  <c r="P66" i="2"/>
  <c r="Q66" i="2"/>
  <c r="R66" i="2" s="1"/>
  <c r="S63" i="2"/>
  <c r="Q63" i="2"/>
  <c r="P63" i="2"/>
  <c r="R63" i="2" s="1"/>
  <c r="U60" i="2"/>
  <c r="T60" i="2"/>
  <c r="R101" i="26"/>
  <c r="N82" i="26"/>
  <c r="V126" i="24"/>
  <c r="Z56" i="1"/>
  <c r="N16" i="2"/>
  <c r="N68" i="2"/>
  <c r="R37" i="2"/>
  <c r="R51" i="2"/>
  <c r="V13" i="2"/>
  <c r="N41" i="2"/>
  <c r="N51" i="2"/>
  <c r="R67" i="2"/>
  <c r="T10" i="2"/>
  <c r="U10" i="2"/>
  <c r="V10" i="2"/>
  <c r="N65" i="2"/>
  <c r="U58" i="2"/>
  <c r="T58" i="2"/>
  <c r="V58" i="2"/>
  <c r="S24" i="2"/>
  <c r="P24" i="2"/>
  <c r="Q24" i="2"/>
  <c r="R24" i="2" s="1"/>
  <c r="Q61" i="2"/>
  <c r="S61" i="2"/>
  <c r="P61" i="2"/>
  <c r="S74" i="2"/>
  <c r="P74" i="2"/>
  <c r="Q74" i="2"/>
  <c r="T72" i="2"/>
  <c r="U72" i="2"/>
  <c r="V72" i="2"/>
  <c r="P29" i="2"/>
  <c r="R29" i="2" s="1"/>
  <c r="Q29" i="2"/>
  <c r="S29" i="2"/>
  <c r="S34" i="2"/>
  <c r="P34" i="2"/>
  <c r="Q34" i="2"/>
  <c r="V53" i="2"/>
  <c r="S19" i="2"/>
  <c r="Q19" i="2"/>
  <c r="P19" i="2"/>
  <c r="R19" i="2" s="1"/>
  <c r="S70" i="2"/>
  <c r="R70" i="2"/>
  <c r="Q70" i="2"/>
  <c r="P70" i="2"/>
  <c r="T23" i="2"/>
  <c r="U23" i="2"/>
  <c r="S42" i="2"/>
  <c r="P42" i="2"/>
  <c r="Q42" i="2"/>
  <c r="R42" i="2" s="1"/>
  <c r="N16" i="24"/>
  <c r="N20" i="24" s="1"/>
  <c r="Q80" i="26"/>
  <c r="S80" i="26"/>
  <c r="P80" i="26"/>
  <c r="R80" i="26" s="1"/>
  <c r="U21" i="2"/>
  <c r="V21" i="2" s="1"/>
  <c r="T21" i="2"/>
  <c r="T43" i="2"/>
  <c r="U43" i="2"/>
  <c r="S40" i="2"/>
  <c r="Q40" i="2"/>
  <c r="P40" i="2"/>
  <c r="T30" i="2"/>
  <c r="V30" i="2" s="1"/>
  <c r="U30" i="2"/>
  <c r="P32" i="2"/>
  <c r="Q32" i="2"/>
  <c r="R32" i="2"/>
  <c r="S32" i="2"/>
  <c r="Q41" i="2"/>
  <c r="S41" i="2"/>
  <c r="P41" i="2"/>
  <c r="R41" i="2" s="1"/>
  <c r="S15" i="2"/>
  <c r="Q15" i="2"/>
  <c r="P15" i="2"/>
  <c r="R15" i="2" s="1"/>
  <c r="R99" i="26"/>
  <c r="R88" i="26"/>
  <c r="N130" i="26"/>
  <c r="N35" i="24"/>
  <c r="R131" i="24"/>
  <c r="R106" i="24"/>
  <c r="R57" i="1"/>
  <c r="S59" i="2"/>
  <c r="Q59" i="2"/>
  <c r="P59" i="2"/>
  <c r="Q50" i="2"/>
  <c r="P50" i="2"/>
  <c r="R50" i="2"/>
  <c r="S50" i="2"/>
  <c r="P68" i="2"/>
  <c r="Q68" i="2"/>
  <c r="S68" i="2"/>
  <c r="Q27" i="2"/>
  <c r="P27" i="2"/>
  <c r="S27" i="2"/>
  <c r="R27" i="2"/>
  <c r="U44" i="2"/>
  <c r="T44" i="2"/>
  <c r="V44" i="2" s="1"/>
  <c r="S71" i="2"/>
  <c r="P71" i="2"/>
  <c r="Q71" i="2"/>
  <c r="T12" i="2"/>
  <c r="V12" i="2" s="1"/>
  <c r="U12" i="2"/>
  <c r="T73" i="2"/>
  <c r="V73" i="2" s="1"/>
  <c r="U73" i="2"/>
  <c r="U51" i="2"/>
  <c r="T51" i="2"/>
  <c r="V51" i="2" s="1"/>
  <c r="P22" i="2"/>
  <c r="Q22" i="2"/>
  <c r="R22" i="2" s="1"/>
  <c r="S22" i="2"/>
  <c r="R84" i="26"/>
  <c r="R121" i="26"/>
  <c r="N94" i="24"/>
  <c r="N124" i="24"/>
  <c r="V66" i="24"/>
  <c r="R39" i="24"/>
  <c r="N26" i="24"/>
  <c r="R95" i="24"/>
  <c r="V21" i="1"/>
  <c r="P16" i="2"/>
  <c r="Q16" i="2"/>
  <c r="R16" i="2" s="1"/>
  <c r="S16" i="2"/>
  <c r="U37" i="2"/>
  <c r="T37" i="2"/>
  <c r="T20" i="2"/>
  <c r="V20" i="2" s="1"/>
  <c r="U20" i="2"/>
  <c r="H41" i="30"/>
  <c r="F39" i="30"/>
  <c r="E39" i="30"/>
  <c r="D31" i="28"/>
  <c r="D30" i="28"/>
  <c r="E29" i="28"/>
  <c r="D39" i="30"/>
  <c r="C39" i="30"/>
  <c r="B11" i="19" s="1"/>
  <c r="B19" i="19" s="1"/>
  <c r="V47" i="1"/>
  <c r="R23" i="1"/>
  <c r="R32" i="1"/>
  <c r="R15" i="1"/>
  <c r="V10" i="1"/>
  <c r="R31" i="1"/>
  <c r="R49" i="1"/>
  <c r="R98" i="26"/>
  <c r="R108" i="26"/>
  <c r="R111" i="26" s="1"/>
  <c r="R104" i="26"/>
  <c r="V123" i="26"/>
  <c r="W123" i="26" s="1"/>
  <c r="N85" i="26"/>
  <c r="R131" i="26"/>
  <c r="N102" i="24"/>
  <c r="N68" i="24"/>
  <c r="N73" i="24"/>
  <c r="R132" i="24"/>
  <c r="R139" i="24" s="1"/>
  <c r="N103" i="24"/>
  <c r="N72" i="24"/>
  <c r="N67" i="24"/>
  <c r="N99" i="24"/>
  <c r="N74" i="24"/>
  <c r="S16" i="28"/>
  <c r="E18" i="28"/>
  <c r="E17" i="28"/>
  <c r="D19" i="28"/>
  <c r="D15" i="28"/>
  <c r="Y20" i="28"/>
  <c r="G22" i="28"/>
  <c r="G21" i="28"/>
  <c r="N139" i="24"/>
  <c r="N143" i="24"/>
  <c r="N142" i="24"/>
  <c r="N44" i="24"/>
  <c r="N42" i="24"/>
  <c r="N88" i="24"/>
  <c r="N90" i="24"/>
  <c r="J116" i="24"/>
  <c r="S20" i="28"/>
  <c r="E21" i="28"/>
  <c r="E22" i="28"/>
  <c r="S12" i="28"/>
  <c r="E14" i="28"/>
  <c r="E13" i="28"/>
  <c r="Z8" i="28"/>
  <c r="Z28" i="28" s="1"/>
  <c r="B79" i="28" s="1"/>
  <c r="F79" i="28" s="1"/>
  <c r="H3" i="37" s="1"/>
  <c r="G9" i="28"/>
  <c r="G10" i="28"/>
  <c r="N128" i="24"/>
  <c r="F16" i="28" s="1" a="1"/>
  <c r="F16" i="28" s="1"/>
  <c r="N141" i="24"/>
  <c r="N138" i="24"/>
  <c r="N84" i="24"/>
  <c r="J112" i="24"/>
  <c r="J32" i="24"/>
  <c r="J30" i="24"/>
  <c r="T8" i="28"/>
  <c r="T28" i="28" s="1"/>
  <c r="B64" i="28" s="1"/>
  <c r="F64" i="28" s="1"/>
  <c r="F3" i="37" s="1"/>
  <c r="E9" i="28"/>
  <c r="E10" i="28"/>
  <c r="D11" i="28"/>
  <c r="S24" i="28"/>
  <c r="E26" i="28"/>
  <c r="E25" i="28"/>
  <c r="B109" i="4"/>
  <c r="U49" i="1"/>
  <c r="T49" i="1"/>
  <c r="W49" i="1"/>
  <c r="V24" i="1"/>
  <c r="R39" i="1"/>
  <c r="D8" i="3" s="1"/>
  <c r="R33" i="1"/>
  <c r="V51" i="1"/>
  <c r="R48" i="1"/>
  <c r="W30" i="1"/>
  <c r="T30" i="1"/>
  <c r="U30" i="1"/>
  <c r="V37" i="1"/>
  <c r="R34" i="1"/>
  <c r="V41" i="1"/>
  <c r="R22" i="1"/>
  <c r="R17" i="1"/>
  <c r="V43" i="1"/>
  <c r="Z55" i="1"/>
  <c r="V12" i="1"/>
  <c r="R13" i="1"/>
  <c r="Z26" i="1"/>
  <c r="T16" i="1"/>
  <c r="W16" i="1"/>
  <c r="U16" i="1"/>
  <c r="Y27" i="1"/>
  <c r="X27" i="1"/>
  <c r="Z54" i="1"/>
  <c r="V53" i="1"/>
  <c r="V27" i="1"/>
  <c r="W40" i="1"/>
  <c r="T40" i="1"/>
  <c r="U40" i="1"/>
  <c r="R58" i="1"/>
  <c r="Z28" i="1"/>
  <c r="Z46" i="1"/>
  <c r="W15" i="1"/>
  <c r="U15" i="1"/>
  <c r="T15" i="1"/>
  <c r="X44" i="1"/>
  <c r="Y44" i="1"/>
  <c r="W13" i="1"/>
  <c r="U13" i="1"/>
  <c r="T13" i="1"/>
  <c r="X10" i="1"/>
  <c r="Y10" i="1"/>
  <c r="X12" i="1"/>
  <c r="Y12" i="1"/>
  <c r="W45" i="1"/>
  <c r="U45" i="1"/>
  <c r="T45" i="1"/>
  <c r="T35" i="1"/>
  <c r="V35" i="1" s="1"/>
  <c r="U35" i="1"/>
  <c r="Y41" i="1"/>
  <c r="X41" i="1"/>
  <c r="T57" i="1"/>
  <c r="U57" i="1"/>
  <c r="W57" i="1"/>
  <c r="W31" i="1"/>
  <c r="U31" i="1"/>
  <c r="T31" i="1"/>
  <c r="U32" i="1"/>
  <c r="W32" i="1"/>
  <c r="T32" i="1"/>
  <c r="U18" i="1"/>
  <c r="W18" i="1"/>
  <c r="T18" i="1"/>
  <c r="Y17" i="1"/>
  <c r="X17" i="1"/>
  <c r="Y47" i="1"/>
  <c r="X47" i="1"/>
  <c r="X24" i="1"/>
  <c r="Y24" i="1"/>
  <c r="Y21" i="1"/>
  <c r="X21" i="1"/>
  <c r="W58" i="1"/>
  <c r="W60" i="1"/>
  <c r="W59" i="1"/>
  <c r="T58" i="1"/>
  <c r="U58" i="1"/>
  <c r="T39" i="1"/>
  <c r="W39" i="1"/>
  <c r="U39" i="1"/>
  <c r="T22" i="1"/>
  <c r="U22" i="1"/>
  <c r="W23" i="1"/>
  <c r="W22" i="1"/>
  <c r="W19" i="1"/>
  <c r="U19" i="1"/>
  <c r="T19" i="1"/>
  <c r="T59" i="1"/>
  <c r="U59" i="1"/>
  <c r="W48" i="1"/>
  <c r="U48" i="1"/>
  <c r="T48" i="1"/>
  <c r="T33" i="1"/>
  <c r="W33" i="1"/>
  <c r="U33" i="1"/>
  <c r="T34" i="1"/>
  <c r="W36" i="1"/>
  <c r="U34" i="1"/>
  <c r="W35" i="1"/>
  <c r="W34" i="1"/>
  <c r="Y53" i="1"/>
  <c r="X53" i="1"/>
  <c r="X52" i="1"/>
  <c r="Y52" i="1"/>
  <c r="X37" i="1"/>
  <c r="Y37" i="1"/>
  <c r="X14" i="1"/>
  <c r="Y14" i="1"/>
  <c r="W29" i="1"/>
  <c r="U29" i="1"/>
  <c r="T29" i="1"/>
  <c r="Y123" i="24"/>
  <c r="Z123" i="24" s="1"/>
  <c r="N130" i="24"/>
  <c r="S125" i="24"/>
  <c r="U125" i="24" s="1"/>
  <c r="P125" i="24"/>
  <c r="R125" i="24" s="1"/>
  <c r="R123" i="24"/>
  <c r="R110" i="24"/>
  <c r="N104" i="24"/>
  <c r="N100" i="24"/>
  <c r="R61" i="24"/>
  <c r="N48" i="24"/>
  <c r="N49" i="24"/>
  <c r="J42" i="24"/>
  <c r="N36" i="24"/>
  <c r="J45" i="24"/>
  <c r="J44" i="24"/>
  <c r="N37" i="24"/>
  <c r="N11" i="24"/>
  <c r="J33" i="24"/>
  <c r="J31" i="24"/>
  <c r="J34" i="24"/>
  <c r="R33" i="24"/>
  <c r="R34" i="24"/>
  <c r="N13" i="24"/>
  <c r="R135" i="24"/>
  <c r="R138" i="24"/>
  <c r="R25" i="24"/>
  <c r="V108" i="24"/>
  <c r="W60" i="24"/>
  <c r="J43" i="24"/>
  <c r="R96" i="24"/>
  <c r="R65" i="24"/>
  <c r="J41" i="24"/>
  <c r="N81" i="24"/>
  <c r="T60" i="24"/>
  <c r="V60" i="24" s="1"/>
  <c r="R23" i="24"/>
  <c r="J113" i="24"/>
  <c r="R93" i="24"/>
  <c r="R29" i="24"/>
  <c r="J118" i="24"/>
  <c r="R32" i="24"/>
  <c r="J115" i="24"/>
  <c r="N76" i="24"/>
  <c r="R31" i="24"/>
  <c r="J114" i="24"/>
  <c r="N98" i="24"/>
  <c r="W28" i="24"/>
  <c r="T28" i="24"/>
  <c r="U28" i="24"/>
  <c r="N63" i="24"/>
  <c r="S48" i="24"/>
  <c r="Q48" i="24"/>
  <c r="P48" i="24"/>
  <c r="V15" i="24"/>
  <c r="R40" i="24"/>
  <c r="R41" i="24" s="1"/>
  <c r="R42" i="24" s="1"/>
  <c r="R43" i="24" s="1"/>
  <c r="R44" i="24" s="1"/>
  <c r="R45" i="24" s="1"/>
  <c r="R46" i="24" s="1"/>
  <c r="N17" i="24"/>
  <c r="N47" i="24"/>
  <c r="X95" i="24"/>
  <c r="Z95" i="24" s="1"/>
  <c r="R12" i="24"/>
  <c r="S52" i="24"/>
  <c r="Q52" i="24"/>
  <c r="P52" i="24"/>
  <c r="R50" i="24"/>
  <c r="W132" i="24"/>
  <c r="U132" i="24"/>
  <c r="T132" i="24"/>
  <c r="N52" i="24"/>
  <c r="N59" i="24"/>
  <c r="F8" i="28" s="1" a="1"/>
  <c r="F8" i="28" s="1"/>
  <c r="U93" i="24"/>
  <c r="T93" i="24"/>
  <c r="W93" i="24"/>
  <c r="R49" i="24"/>
  <c r="N91" i="24"/>
  <c r="U119" i="24"/>
  <c r="W119" i="24"/>
  <c r="T119" i="24"/>
  <c r="P26" i="24"/>
  <c r="Q26" i="24"/>
  <c r="S26" i="24"/>
  <c r="R77" i="24"/>
  <c r="V14" i="24"/>
  <c r="R137" i="24"/>
  <c r="P75" i="24"/>
  <c r="S75" i="24"/>
  <c r="Q75" i="24"/>
  <c r="Q13" i="24"/>
  <c r="P13" i="24"/>
  <c r="S13" i="24"/>
  <c r="P129" i="24"/>
  <c r="S129" i="24"/>
  <c r="Q129" i="24"/>
  <c r="R80" i="24"/>
  <c r="R107" i="24"/>
  <c r="F24" i="28" a="1"/>
  <c r="F24" i="28" s="1"/>
  <c r="F20" i="28" a="1"/>
  <c r="F20" i="28" s="1"/>
  <c r="R111" i="24"/>
  <c r="R115" i="24" s="1"/>
  <c r="N109" i="24"/>
  <c r="N75" i="24"/>
  <c r="R82" i="24"/>
  <c r="R83" i="24" s="1"/>
  <c r="R24" i="24"/>
  <c r="R143" i="24"/>
  <c r="V62" i="24"/>
  <c r="N64" i="24"/>
  <c r="Q16" i="24"/>
  <c r="P16" i="24"/>
  <c r="S16" i="24"/>
  <c r="W38" i="24"/>
  <c r="T38" i="24"/>
  <c r="U38" i="24"/>
  <c r="R88" i="24"/>
  <c r="R84" i="24"/>
  <c r="V102" i="24"/>
  <c r="V103" i="24"/>
  <c r="V99" i="24"/>
  <c r="V101" i="24"/>
  <c r="V100" i="24"/>
  <c r="V98" i="24"/>
  <c r="V104" i="24"/>
  <c r="V69" i="24"/>
  <c r="V70" i="24"/>
  <c r="V73" i="24"/>
  <c r="V74" i="24"/>
  <c r="V71" i="24"/>
  <c r="V67" i="24"/>
  <c r="V68" i="24"/>
  <c r="V72" i="24"/>
  <c r="U49" i="24"/>
  <c r="T49" i="24"/>
  <c r="W49" i="24"/>
  <c r="X60" i="24"/>
  <c r="Y60" i="24"/>
  <c r="W96" i="24"/>
  <c r="U96" i="24"/>
  <c r="T96" i="24"/>
  <c r="S91" i="24"/>
  <c r="Q91" i="24"/>
  <c r="P91" i="24"/>
  <c r="X15" i="24"/>
  <c r="Y15" i="24"/>
  <c r="U61" i="24"/>
  <c r="T61" i="24"/>
  <c r="W61" i="24"/>
  <c r="U25" i="24"/>
  <c r="T25" i="24"/>
  <c r="W25" i="24"/>
  <c r="W12" i="24"/>
  <c r="U12" i="24"/>
  <c r="T12" i="24"/>
  <c r="Y126" i="24"/>
  <c r="X126" i="24"/>
  <c r="W125" i="24"/>
  <c r="P124" i="24"/>
  <c r="Q124" i="24"/>
  <c r="S124" i="24"/>
  <c r="W79" i="24"/>
  <c r="U79" i="24"/>
  <c r="T79" i="24"/>
  <c r="U131" i="24"/>
  <c r="T131" i="24"/>
  <c r="W131" i="24"/>
  <c r="W80" i="24"/>
  <c r="U80" i="24"/>
  <c r="T80" i="24"/>
  <c r="U111" i="24"/>
  <c r="T111" i="24"/>
  <c r="W111" i="24"/>
  <c r="S121" i="24"/>
  <c r="Q121" i="24"/>
  <c r="P121" i="24"/>
  <c r="W105" i="24"/>
  <c r="U105" i="24"/>
  <c r="T105" i="24"/>
  <c r="Y62" i="24"/>
  <c r="X62" i="24"/>
  <c r="S122" i="24"/>
  <c r="P122" i="24"/>
  <c r="Q122" i="24"/>
  <c r="W106" i="24"/>
  <c r="U106" i="24"/>
  <c r="T106" i="24"/>
  <c r="P92" i="24"/>
  <c r="Q92" i="24"/>
  <c r="S92" i="24"/>
  <c r="X97" i="24"/>
  <c r="Y97" i="24"/>
  <c r="Q120" i="24"/>
  <c r="S120" i="24"/>
  <c r="P120" i="24"/>
  <c r="W51" i="24"/>
  <c r="U51" i="24"/>
  <c r="T51" i="24"/>
  <c r="T65" i="24"/>
  <c r="U65" i="24"/>
  <c r="W65" i="24"/>
  <c r="W39" i="24"/>
  <c r="U39" i="24"/>
  <c r="T39" i="24"/>
  <c r="S37" i="24"/>
  <c r="Q37" i="24"/>
  <c r="P37" i="24"/>
  <c r="S130" i="24"/>
  <c r="Q130" i="24"/>
  <c r="P130" i="24"/>
  <c r="X14" i="24"/>
  <c r="Y14" i="24"/>
  <c r="U24" i="24"/>
  <c r="W24" i="24"/>
  <c r="T24" i="24"/>
  <c r="T77" i="24"/>
  <c r="U77" i="24"/>
  <c r="W77" i="24"/>
  <c r="Q81" i="24"/>
  <c r="P81" i="24"/>
  <c r="S81" i="24"/>
  <c r="U107" i="24"/>
  <c r="W107" i="24"/>
  <c r="T107" i="24"/>
  <c r="U50" i="24"/>
  <c r="T50" i="24"/>
  <c r="W50" i="24"/>
  <c r="S11" i="24"/>
  <c r="P11" i="24"/>
  <c r="Q11" i="24"/>
  <c r="P109" i="24"/>
  <c r="Q109" i="24"/>
  <c r="S109" i="24"/>
  <c r="W110" i="24"/>
  <c r="U110" i="24"/>
  <c r="T110" i="24"/>
  <c r="Q64" i="24"/>
  <c r="P64" i="24"/>
  <c r="S64" i="24"/>
  <c r="Q76" i="24"/>
  <c r="P76" i="24"/>
  <c r="S76" i="24"/>
  <c r="P94" i="24"/>
  <c r="S94" i="24"/>
  <c r="Q94" i="24"/>
  <c r="Q128" i="24"/>
  <c r="S128" i="24"/>
  <c r="P128" i="24"/>
  <c r="W82" i="24"/>
  <c r="T82" i="24"/>
  <c r="U82" i="24"/>
  <c r="S47" i="24"/>
  <c r="P47" i="24"/>
  <c r="Q47" i="24"/>
  <c r="Y108" i="24"/>
  <c r="X108" i="24"/>
  <c r="P127" i="24"/>
  <c r="S127" i="24"/>
  <c r="Q127" i="24"/>
  <c r="Q36" i="24"/>
  <c r="P36" i="24"/>
  <c r="S36" i="24"/>
  <c r="P35" i="24"/>
  <c r="Q35" i="24"/>
  <c r="S35" i="24"/>
  <c r="X78" i="24"/>
  <c r="Y78" i="24"/>
  <c r="S59" i="24"/>
  <c r="Q59" i="24"/>
  <c r="P59" i="24"/>
  <c r="W23" i="24"/>
  <c r="U23" i="24"/>
  <c r="T23" i="24"/>
  <c r="X66" i="24"/>
  <c r="Y66" i="24"/>
  <c r="Q63" i="24"/>
  <c r="S63" i="24"/>
  <c r="P63" i="24"/>
  <c r="W40" i="24"/>
  <c r="U40" i="24"/>
  <c r="T40" i="24"/>
  <c r="R87" i="26"/>
  <c r="N124" i="26"/>
  <c r="N132" i="26"/>
  <c r="U85" i="26"/>
  <c r="V85" i="26" s="1"/>
  <c r="X85" i="26" s="1"/>
  <c r="U121" i="26"/>
  <c r="T121" i="26"/>
  <c r="N106" i="26"/>
  <c r="V107" i="26"/>
  <c r="X107" i="26" s="1"/>
  <c r="N125" i="26"/>
  <c r="N81" i="26"/>
  <c r="N128" i="26"/>
  <c r="R100" i="26"/>
  <c r="R120" i="26"/>
  <c r="V122" i="26"/>
  <c r="X122" i="26" s="1"/>
  <c r="N103" i="26"/>
  <c r="V105" i="26"/>
  <c r="W105" i="26" s="1"/>
  <c r="T102" i="26"/>
  <c r="V102" i="26"/>
  <c r="W102" i="26" s="1"/>
  <c r="R86" i="26"/>
  <c r="N126" i="26"/>
  <c r="P124" i="26"/>
  <c r="S124" i="26"/>
  <c r="Q124" i="26"/>
  <c r="R124" i="26" s="1"/>
  <c r="N129" i="26"/>
  <c r="R127" i="26"/>
  <c r="X130" i="26"/>
  <c r="W130" i="26"/>
  <c r="T132" i="26"/>
  <c r="U132" i="26"/>
  <c r="U120" i="26"/>
  <c r="T120" i="26"/>
  <c r="R109" i="26"/>
  <c r="R114" i="26"/>
  <c r="R117" i="26"/>
  <c r="R110" i="26"/>
  <c r="R115" i="26"/>
  <c r="R118" i="26"/>
  <c r="R116" i="26"/>
  <c r="R119" i="26"/>
  <c r="S106" i="26"/>
  <c r="P106" i="26"/>
  <c r="Q106" i="26"/>
  <c r="Q125" i="26"/>
  <c r="S125" i="26"/>
  <c r="P125" i="26"/>
  <c r="T86" i="26"/>
  <c r="U86" i="26"/>
  <c r="Q126" i="26"/>
  <c r="S126" i="26"/>
  <c r="P126" i="26"/>
  <c r="T99" i="26"/>
  <c r="U99" i="26"/>
  <c r="R91" i="26"/>
  <c r="R94" i="26"/>
  <c r="R97" i="26"/>
  <c r="R90" i="26"/>
  <c r="R92" i="26"/>
  <c r="R95" i="26"/>
  <c r="R89" i="26"/>
  <c r="R93" i="26"/>
  <c r="R96" i="26"/>
  <c r="U104" i="26"/>
  <c r="T104" i="26"/>
  <c r="T98" i="26"/>
  <c r="U98" i="26"/>
  <c r="R133" i="26"/>
  <c r="R135" i="26"/>
  <c r="R138" i="26"/>
  <c r="R141" i="26"/>
  <c r="R144" i="26"/>
  <c r="R147" i="26"/>
  <c r="R150" i="26"/>
  <c r="R153" i="26"/>
  <c r="R156" i="26"/>
  <c r="R159" i="26"/>
  <c r="R162" i="26"/>
  <c r="R165" i="26"/>
  <c r="R168" i="26"/>
  <c r="R134" i="26"/>
  <c r="R136" i="26"/>
  <c r="R139" i="26"/>
  <c r="R142" i="26"/>
  <c r="R145" i="26"/>
  <c r="R148" i="26"/>
  <c r="R151" i="26"/>
  <c r="R154" i="26"/>
  <c r="R157" i="26"/>
  <c r="R160" i="26"/>
  <c r="R163" i="26"/>
  <c r="R166" i="26"/>
  <c r="R169" i="26"/>
  <c r="R140" i="26"/>
  <c r="R146" i="26"/>
  <c r="R152" i="26"/>
  <c r="R158" i="26"/>
  <c r="R164" i="26"/>
  <c r="R170" i="26"/>
  <c r="R137" i="26"/>
  <c r="R149" i="26"/>
  <c r="R155" i="26"/>
  <c r="R161" i="26"/>
  <c r="R167" i="26"/>
  <c r="R143" i="26"/>
  <c r="Q103" i="26"/>
  <c r="S103" i="26"/>
  <c r="P103" i="26"/>
  <c r="U87" i="26"/>
  <c r="T87" i="26"/>
  <c r="P81" i="26"/>
  <c r="R81" i="26" s="1"/>
  <c r="Q81" i="26"/>
  <c r="S81" i="26"/>
  <c r="T84" i="26"/>
  <c r="U84" i="26"/>
  <c r="Q82" i="26"/>
  <c r="S82" i="26"/>
  <c r="P82" i="26"/>
  <c r="T88" i="26"/>
  <c r="U88" i="26"/>
  <c r="P129" i="26"/>
  <c r="Q129" i="26"/>
  <c r="S129" i="26"/>
  <c r="U100" i="26"/>
  <c r="T100" i="26"/>
  <c r="U127" i="26"/>
  <c r="T127" i="26"/>
  <c r="P128" i="26"/>
  <c r="Q128" i="26"/>
  <c r="S128" i="26"/>
  <c r="U101" i="26"/>
  <c r="V101" i="26" s="1"/>
  <c r="X101" i="26" s="1"/>
  <c r="T101" i="26"/>
  <c r="T131" i="26"/>
  <c r="U131" i="26"/>
  <c r="H113" i="4"/>
  <c r="F115" i="4"/>
  <c r="G128" i="4"/>
  <c r="I7" i="37" s="1"/>
  <c r="H126" i="4"/>
  <c r="G115" i="4"/>
  <c r="G7" i="37"/>
  <c r="D8" i="37"/>
  <c r="E87" i="29"/>
  <c r="E89" i="29" s="1"/>
  <c r="D87" i="29"/>
  <c r="D89" i="29" s="1"/>
  <c r="C87" i="29"/>
  <c r="B89" i="29"/>
  <c r="E64" i="29"/>
  <c r="E66" i="29" s="1"/>
  <c r="D64" i="29"/>
  <c r="D66" i="29" s="1"/>
  <c r="C64" i="29"/>
  <c r="B66" i="29"/>
  <c r="B59" i="29"/>
  <c r="E57" i="29"/>
  <c r="E59" i="29" s="1"/>
  <c r="D57" i="29"/>
  <c r="D59" i="29" s="1"/>
  <c r="C57" i="29"/>
  <c r="E79" i="29"/>
  <c r="D79" i="29"/>
  <c r="D81" i="29" s="1"/>
  <c r="C79" i="29"/>
  <c r="B81" i="29"/>
  <c r="B73" i="29"/>
  <c r="E71" i="29"/>
  <c r="D71" i="29"/>
  <c r="C71" i="29"/>
  <c r="E3" i="37"/>
  <c r="F57" i="28"/>
  <c r="H107" i="4"/>
  <c r="F109" i="4"/>
  <c r="H102" i="4"/>
  <c r="C103" i="4"/>
  <c r="D19" i="4" l="1"/>
  <c r="E108" i="4"/>
  <c r="E109" i="4" s="1"/>
  <c r="V11" i="1"/>
  <c r="D31" i="4"/>
  <c r="D35" i="4"/>
  <c r="D47" i="4"/>
  <c r="D11" i="4"/>
  <c r="D15" i="4"/>
  <c r="E14" i="4"/>
  <c r="E13" i="4"/>
  <c r="E30" i="4"/>
  <c r="E29" i="4"/>
  <c r="E46" i="4"/>
  <c r="E45" i="4"/>
  <c r="H103" i="4"/>
  <c r="Z52" i="1"/>
  <c r="V48" i="1"/>
  <c r="Z21" i="1"/>
  <c r="V45" i="1"/>
  <c r="Z27" i="1"/>
  <c r="C108" i="4"/>
  <c r="C109" i="4" s="1"/>
  <c r="D63" i="4"/>
  <c r="E17" i="4"/>
  <c r="E18" i="4"/>
  <c r="E34" i="4"/>
  <c r="E33" i="4"/>
  <c r="X11" i="1"/>
  <c r="Y11" i="1"/>
  <c r="D64" i="4"/>
  <c r="E22" i="4"/>
  <c r="E21" i="4"/>
  <c r="E38" i="4"/>
  <c r="E37" i="4"/>
  <c r="B114" i="4"/>
  <c r="B115" i="4" s="1"/>
  <c r="V49" i="1"/>
  <c r="D43" i="4"/>
  <c r="D27" i="4"/>
  <c r="E10" i="4"/>
  <c r="E9" i="4"/>
  <c r="E62" i="4"/>
  <c r="E25" i="4"/>
  <c r="E26" i="4"/>
  <c r="E41" i="4"/>
  <c r="E42" i="4"/>
  <c r="D39" i="4"/>
  <c r="D23" i="4"/>
  <c r="B80" i="30"/>
  <c r="D80" i="30" s="1"/>
  <c r="D82" i="30" s="1"/>
  <c r="B88" i="30"/>
  <c r="D88" i="30" s="1"/>
  <c r="D90" i="30" s="1"/>
  <c r="G39" i="30"/>
  <c r="B96" i="30" s="1"/>
  <c r="V65" i="24"/>
  <c r="N19" i="24"/>
  <c r="N18" i="24"/>
  <c r="D28" i="28"/>
  <c r="V37" i="2"/>
  <c r="V43" i="2"/>
  <c r="V23" i="2"/>
  <c r="T70" i="2"/>
  <c r="V70" i="2" s="1"/>
  <c r="U70" i="2"/>
  <c r="T29" i="2"/>
  <c r="V29" i="2" s="1"/>
  <c r="U29" i="2"/>
  <c r="T74" i="2"/>
  <c r="U74" i="2"/>
  <c r="V74" i="2" s="1"/>
  <c r="U19" i="2"/>
  <c r="T19" i="2"/>
  <c r="V19" i="2"/>
  <c r="U108" i="26"/>
  <c r="V108" i="26" s="1"/>
  <c r="Z66" i="24"/>
  <c r="Z67" i="24" s="1"/>
  <c r="Z68" i="24" s="1"/>
  <c r="Z69" i="24" s="1"/>
  <c r="Z70" i="24" s="1"/>
  <c r="Z71" i="24" s="1"/>
  <c r="Z72" i="24" s="1"/>
  <c r="Z73" i="24" s="1"/>
  <c r="Z74" i="24" s="1"/>
  <c r="Z78" i="24"/>
  <c r="R64" i="24"/>
  <c r="V50" i="24"/>
  <c r="R130" i="24"/>
  <c r="N22" i="24"/>
  <c r="N21" i="24"/>
  <c r="R68" i="2"/>
  <c r="R40" i="2"/>
  <c r="R34" i="2"/>
  <c r="R61" i="2"/>
  <c r="U66" i="2"/>
  <c r="T66" i="2"/>
  <c r="U65" i="2"/>
  <c r="T65" i="2"/>
  <c r="V65" i="2" s="1"/>
  <c r="U31" i="2"/>
  <c r="T31" i="2"/>
  <c r="V31" i="2" s="1"/>
  <c r="T34" i="2"/>
  <c r="V34" i="2" s="1"/>
  <c r="U34" i="2"/>
  <c r="V84" i="26"/>
  <c r="X84" i="26" s="1"/>
  <c r="V86" i="26"/>
  <c r="V120" i="26"/>
  <c r="W120" i="26" s="1"/>
  <c r="W122" i="26"/>
  <c r="R36" i="24"/>
  <c r="R76" i="24"/>
  <c r="R92" i="24"/>
  <c r="R71" i="2"/>
  <c r="R59" i="2"/>
  <c r="T42" i="2"/>
  <c r="V42" i="2" s="1"/>
  <c r="U42" i="2"/>
  <c r="R74" i="2"/>
  <c r="T61" i="2"/>
  <c r="V61" i="2" s="1"/>
  <c r="U61" i="2"/>
  <c r="T24" i="2"/>
  <c r="U24" i="2"/>
  <c r="V24" i="2" s="1"/>
  <c r="V60" i="2"/>
  <c r="T63" i="2"/>
  <c r="U63" i="2"/>
  <c r="V63" i="2" s="1"/>
  <c r="V9" i="2"/>
  <c r="V39" i="2"/>
  <c r="V51" i="24"/>
  <c r="V80" i="24"/>
  <c r="V131" i="24"/>
  <c r="V40" i="1"/>
  <c r="U22" i="2"/>
  <c r="T22" i="2"/>
  <c r="V22" i="2" s="1"/>
  <c r="U71" i="2"/>
  <c r="T71" i="2"/>
  <c r="V71" i="2" s="1"/>
  <c r="T68" i="2"/>
  <c r="V68" i="2" s="1"/>
  <c r="U68" i="2"/>
  <c r="T50" i="2"/>
  <c r="U50" i="2"/>
  <c r="V50" i="2" s="1"/>
  <c r="U27" i="2"/>
  <c r="T27" i="2"/>
  <c r="U41" i="2"/>
  <c r="T41" i="2"/>
  <c r="T40" i="2"/>
  <c r="V40" i="2" s="1"/>
  <c r="U40" i="2"/>
  <c r="U80" i="26"/>
  <c r="T80" i="26"/>
  <c r="V80" i="26" s="1"/>
  <c r="R128" i="26"/>
  <c r="V100" i="26"/>
  <c r="V104" i="26"/>
  <c r="W85" i="26"/>
  <c r="V121" i="26"/>
  <c r="W121" i="26" s="1"/>
  <c r="V58" i="1"/>
  <c r="T15" i="2"/>
  <c r="U15" i="2"/>
  <c r="V15" i="2" s="1"/>
  <c r="R82" i="26"/>
  <c r="V49" i="24"/>
  <c r="R48" i="24"/>
  <c r="V29" i="1"/>
  <c r="T16" i="2"/>
  <c r="V16" i="2" s="1"/>
  <c r="U16" i="2"/>
  <c r="T59" i="2"/>
  <c r="U59" i="2"/>
  <c r="T32" i="2"/>
  <c r="V32" i="2" s="1"/>
  <c r="U32" i="2"/>
  <c r="E30" i="28"/>
  <c r="E31" i="28"/>
  <c r="G11" i="28"/>
  <c r="E23" i="28"/>
  <c r="S28" i="28"/>
  <c r="B63" i="28" s="1"/>
  <c r="D63" i="28" s="1"/>
  <c r="D65" i="28" s="1"/>
  <c r="E19" i="28"/>
  <c r="B66" i="30"/>
  <c r="C80" i="30"/>
  <c r="B73" i="30"/>
  <c r="V57" i="1"/>
  <c r="Z10" i="1"/>
  <c r="V13" i="1"/>
  <c r="V98" i="26"/>
  <c r="W98" i="26" s="1"/>
  <c r="X123" i="26"/>
  <c r="W104" i="26"/>
  <c r="R103" i="26"/>
  <c r="R113" i="26"/>
  <c r="R112" i="26"/>
  <c r="X121" i="26"/>
  <c r="X105" i="26"/>
  <c r="W107" i="26"/>
  <c r="R145" i="24"/>
  <c r="R142" i="24"/>
  <c r="R133" i="24"/>
  <c r="R136" i="24"/>
  <c r="E15" i="28"/>
  <c r="R128" i="24"/>
  <c r="Z62" i="24"/>
  <c r="Z126" i="24"/>
  <c r="R144" i="24"/>
  <c r="V119" i="24"/>
  <c r="R141" i="24"/>
  <c r="V132" i="24"/>
  <c r="V138" i="24" s="1"/>
  <c r="V28" i="24"/>
  <c r="V31" i="24" s="1"/>
  <c r="R134" i="24"/>
  <c r="R81" i="24"/>
  <c r="V61" i="24"/>
  <c r="R91" i="24"/>
  <c r="R140" i="24"/>
  <c r="R75" i="24"/>
  <c r="G23" i="28"/>
  <c r="Z60" i="24"/>
  <c r="W8" i="28"/>
  <c r="W28" i="28" s="1"/>
  <c r="F9" i="28"/>
  <c r="F10" i="28"/>
  <c r="E11" i="28"/>
  <c r="R35" i="24"/>
  <c r="V20" i="28"/>
  <c r="F21" i="28"/>
  <c r="F22" i="28"/>
  <c r="V16" i="28"/>
  <c r="F18" i="28"/>
  <c r="F17" i="28"/>
  <c r="E27" i="28"/>
  <c r="V24" i="28"/>
  <c r="F25" i="28"/>
  <c r="F26" i="28"/>
  <c r="V30" i="1"/>
  <c r="V33" i="1"/>
  <c r="V22" i="1"/>
  <c r="Z24" i="1"/>
  <c r="V31" i="1"/>
  <c r="V15" i="1"/>
  <c r="X49" i="1"/>
  <c r="Y49" i="1"/>
  <c r="Y30" i="1"/>
  <c r="X30" i="1"/>
  <c r="Z41" i="1"/>
  <c r="V16" i="1"/>
  <c r="Z44" i="1"/>
  <c r="Z53" i="1"/>
  <c r="Z47" i="1"/>
  <c r="Z12" i="1"/>
  <c r="V39" i="1"/>
  <c r="V59" i="1"/>
  <c r="Z17" i="1"/>
  <c r="V19" i="1"/>
  <c r="Z14" i="1"/>
  <c r="V34" i="1"/>
  <c r="V18" i="1"/>
  <c r="Y16" i="1"/>
  <c r="X16" i="1"/>
  <c r="V32" i="1"/>
  <c r="X40" i="1"/>
  <c r="Y40" i="1"/>
  <c r="Z37" i="1"/>
  <c r="X35" i="1"/>
  <c r="Y35" i="1"/>
  <c r="Y39" i="1"/>
  <c r="X39" i="1"/>
  <c r="Y36" i="1"/>
  <c r="X36" i="1"/>
  <c r="Y32" i="1"/>
  <c r="X32" i="1"/>
  <c r="Y15" i="1"/>
  <c r="X15" i="1"/>
  <c r="X33" i="1"/>
  <c r="Y33" i="1"/>
  <c r="Y19" i="1"/>
  <c r="X19" i="1"/>
  <c r="X59" i="1"/>
  <c r="Y59" i="1"/>
  <c r="Y22" i="1"/>
  <c r="X22" i="1"/>
  <c r="Y60" i="1"/>
  <c r="X60" i="1"/>
  <c r="X31" i="1"/>
  <c r="Y31" i="1"/>
  <c r="X29" i="1"/>
  <c r="Y29" i="1"/>
  <c r="Y23" i="1"/>
  <c r="X23" i="1"/>
  <c r="Y58" i="1"/>
  <c r="X58" i="1"/>
  <c r="Y13" i="1"/>
  <c r="X13" i="1"/>
  <c r="X45" i="1"/>
  <c r="Y45" i="1"/>
  <c r="Y18" i="1"/>
  <c r="X18" i="1"/>
  <c r="Y34" i="1"/>
  <c r="X34" i="1"/>
  <c r="Y48" i="1"/>
  <c r="X48" i="1"/>
  <c r="X57" i="1"/>
  <c r="Y57" i="1"/>
  <c r="T125" i="24"/>
  <c r="V125" i="24" s="1"/>
  <c r="V111" i="24"/>
  <c r="R118" i="24"/>
  <c r="R94" i="24"/>
  <c r="V93" i="24"/>
  <c r="V96" i="24"/>
  <c r="R90" i="24"/>
  <c r="R87" i="24"/>
  <c r="R85" i="24"/>
  <c r="V82" i="24"/>
  <c r="V89" i="24" s="1"/>
  <c r="R86" i="24"/>
  <c r="R37" i="24"/>
  <c r="R26" i="24"/>
  <c r="V24" i="24"/>
  <c r="V25" i="24"/>
  <c r="R13" i="24"/>
  <c r="V12" i="24"/>
  <c r="R16" i="24"/>
  <c r="R18" i="24" s="1"/>
  <c r="R116" i="24"/>
  <c r="R129" i="24"/>
  <c r="G16" i="28" s="1" a="1"/>
  <c r="G16" i="28" s="1"/>
  <c r="V77" i="24"/>
  <c r="R117" i="24"/>
  <c r="R52" i="24"/>
  <c r="R57" i="24" s="1"/>
  <c r="R113" i="24"/>
  <c r="V40" i="24"/>
  <c r="V45" i="24" s="1"/>
  <c r="R127" i="24"/>
  <c r="V107" i="24"/>
  <c r="Z97" i="24"/>
  <c r="Z98" i="24" s="1"/>
  <c r="R89" i="24"/>
  <c r="T48" i="24"/>
  <c r="W48" i="24"/>
  <c r="U48" i="24"/>
  <c r="R63" i="24"/>
  <c r="Z14" i="24"/>
  <c r="V105" i="24"/>
  <c r="V29" i="24"/>
  <c r="X28" i="24"/>
  <c r="Y28" i="24"/>
  <c r="V23" i="24"/>
  <c r="V79" i="24"/>
  <c r="Z15" i="24"/>
  <c r="R114" i="24"/>
  <c r="X93" i="24"/>
  <c r="Y93" i="24"/>
  <c r="R47" i="24"/>
  <c r="R124" i="24"/>
  <c r="N57" i="24"/>
  <c r="N55" i="24"/>
  <c r="F12" i="28" s="1" a="1"/>
  <c r="F12" i="28" s="1"/>
  <c r="F29" i="28" s="1"/>
  <c r="N53" i="24"/>
  <c r="N56" i="24"/>
  <c r="N54" i="24"/>
  <c r="N58" i="24"/>
  <c r="R11" i="24"/>
  <c r="V134" i="24"/>
  <c r="V144" i="24"/>
  <c r="V141" i="24"/>
  <c r="X119" i="24"/>
  <c r="Y119" i="24"/>
  <c r="W129" i="24"/>
  <c r="T129" i="24"/>
  <c r="U129" i="24"/>
  <c r="G24" i="28" a="1"/>
  <c r="G24" i="28" s="1"/>
  <c r="Y132" i="24"/>
  <c r="X132" i="24"/>
  <c r="X38" i="24"/>
  <c r="Y38" i="24"/>
  <c r="Z38" i="24" s="1"/>
  <c r="W26" i="24"/>
  <c r="T26" i="24"/>
  <c r="U26" i="24"/>
  <c r="R109" i="24"/>
  <c r="R59" i="24"/>
  <c r="V106" i="24"/>
  <c r="R121" i="24"/>
  <c r="T75" i="24"/>
  <c r="W75" i="24"/>
  <c r="U75" i="24"/>
  <c r="Z108" i="24"/>
  <c r="T13" i="24"/>
  <c r="W13" i="24"/>
  <c r="U13" i="24"/>
  <c r="R112" i="24"/>
  <c r="W52" i="24"/>
  <c r="U52" i="24"/>
  <c r="T52" i="24"/>
  <c r="U16" i="24"/>
  <c r="W16" i="24"/>
  <c r="T16" i="24"/>
  <c r="R120" i="24"/>
  <c r="V110" i="24"/>
  <c r="V39" i="24"/>
  <c r="R122" i="24"/>
  <c r="V38" i="24"/>
  <c r="V117" i="24"/>
  <c r="V118" i="24"/>
  <c r="V114" i="24"/>
  <c r="V115" i="24"/>
  <c r="V116" i="24"/>
  <c r="V113" i="24"/>
  <c r="V112" i="24"/>
  <c r="V85" i="24"/>
  <c r="V88" i="24"/>
  <c r="V86" i="24"/>
  <c r="V46" i="24"/>
  <c r="W11" i="24"/>
  <c r="U11" i="24"/>
  <c r="T11" i="24"/>
  <c r="Y106" i="24"/>
  <c r="X106" i="24"/>
  <c r="Y80" i="24"/>
  <c r="X80" i="24"/>
  <c r="X12" i="24"/>
  <c r="Y12" i="24"/>
  <c r="Y65" i="24"/>
  <c r="X65" i="24"/>
  <c r="Z65" i="24" s="1"/>
  <c r="W63" i="24"/>
  <c r="T63" i="24"/>
  <c r="U63" i="24"/>
  <c r="X107" i="24"/>
  <c r="Y107" i="24"/>
  <c r="Y131" i="24"/>
  <c r="X131" i="24"/>
  <c r="Y25" i="24"/>
  <c r="X25" i="24"/>
  <c r="W36" i="24"/>
  <c r="T36" i="24"/>
  <c r="U36" i="24"/>
  <c r="U94" i="24"/>
  <c r="W94" i="24"/>
  <c r="T94" i="24"/>
  <c r="Y110" i="24"/>
  <c r="X110" i="24"/>
  <c r="Y24" i="24"/>
  <c r="X24" i="24"/>
  <c r="U130" i="24"/>
  <c r="W130" i="24"/>
  <c r="T130" i="24"/>
  <c r="W91" i="24"/>
  <c r="U91" i="24"/>
  <c r="T91" i="24"/>
  <c r="T59" i="24"/>
  <c r="W59" i="24"/>
  <c r="U59" i="24"/>
  <c r="W47" i="24"/>
  <c r="T47" i="24"/>
  <c r="U47" i="24"/>
  <c r="U122" i="24"/>
  <c r="W122" i="24"/>
  <c r="T122" i="24"/>
  <c r="W121" i="24"/>
  <c r="T121" i="24"/>
  <c r="U121" i="24"/>
  <c r="X125" i="24"/>
  <c r="Y125" i="24"/>
  <c r="U76" i="24"/>
  <c r="T76" i="24"/>
  <c r="W76" i="24"/>
  <c r="U37" i="24"/>
  <c r="W37" i="24"/>
  <c r="T37" i="24"/>
  <c r="Y51" i="24"/>
  <c r="X51" i="24"/>
  <c r="X96" i="24"/>
  <c r="Y96" i="24"/>
  <c r="W127" i="24"/>
  <c r="U127" i="24"/>
  <c r="T127" i="24"/>
  <c r="X82" i="24"/>
  <c r="Y82" i="24"/>
  <c r="X50" i="24"/>
  <c r="Y50" i="24"/>
  <c r="X79" i="24"/>
  <c r="Y79" i="24"/>
  <c r="W109" i="24"/>
  <c r="T109" i="24"/>
  <c r="U109" i="24"/>
  <c r="W81" i="24"/>
  <c r="U81" i="24"/>
  <c r="T81" i="24"/>
  <c r="U92" i="24"/>
  <c r="W92" i="24"/>
  <c r="T92" i="24"/>
  <c r="X111" i="24"/>
  <c r="Y111" i="24"/>
  <c r="X61" i="24"/>
  <c r="Y61" i="24"/>
  <c r="T64" i="24"/>
  <c r="V64" i="24" s="1"/>
  <c r="U64" i="24"/>
  <c r="W64" i="24"/>
  <c r="T120" i="24"/>
  <c r="W120" i="24"/>
  <c r="U120" i="24"/>
  <c r="T124" i="24"/>
  <c r="W124" i="24"/>
  <c r="U124" i="24"/>
  <c r="W35" i="24"/>
  <c r="U35" i="24"/>
  <c r="T35" i="24"/>
  <c r="X77" i="24"/>
  <c r="Y77" i="24"/>
  <c r="X40" i="24"/>
  <c r="Y40" i="24"/>
  <c r="X23" i="24"/>
  <c r="Y23" i="24"/>
  <c r="W128" i="24"/>
  <c r="T128" i="24"/>
  <c r="U128" i="24"/>
  <c r="X39" i="24"/>
  <c r="Y39" i="24"/>
  <c r="Y105" i="24"/>
  <c r="X105" i="24"/>
  <c r="X49" i="24"/>
  <c r="Y49" i="24"/>
  <c r="R126" i="26"/>
  <c r="R125" i="26"/>
  <c r="N141" i="26"/>
  <c r="N142" i="26"/>
  <c r="N145" i="26"/>
  <c r="N148" i="26"/>
  <c r="N134" i="26"/>
  <c r="N167" i="26"/>
  <c r="N144" i="26"/>
  <c r="N151" i="26"/>
  <c r="N156" i="26"/>
  <c r="N164" i="26"/>
  <c r="N147" i="26"/>
  <c r="N160" i="26"/>
  <c r="N157" i="26"/>
  <c r="N165" i="26"/>
  <c r="N168" i="26"/>
  <c r="N170" i="26"/>
  <c r="N150" i="26"/>
  <c r="N166" i="26"/>
  <c r="N163" i="26"/>
  <c r="N161" i="26"/>
  <c r="N158" i="26"/>
  <c r="N153" i="26"/>
  <c r="N149" i="26"/>
  <c r="N169" i="26"/>
  <c r="N140" i="26"/>
  <c r="N143" i="26"/>
  <c r="N133" i="26"/>
  <c r="N159" i="26"/>
  <c r="N154" i="26"/>
  <c r="N146" i="26"/>
  <c r="N162" i="26"/>
  <c r="N137" i="26"/>
  <c r="N152" i="26"/>
  <c r="N155" i="26"/>
  <c r="N135" i="26"/>
  <c r="N138" i="26"/>
  <c r="N136" i="26"/>
  <c r="N139" i="26"/>
  <c r="R129" i="26"/>
  <c r="R106" i="26"/>
  <c r="V88" i="26"/>
  <c r="W88" i="26" s="1"/>
  <c r="V87" i="26"/>
  <c r="W87" i="26" s="1"/>
  <c r="T124" i="26"/>
  <c r="U124" i="26"/>
  <c r="V132" i="26"/>
  <c r="V136" i="26" s="1"/>
  <c r="V127" i="26"/>
  <c r="W127" i="26" s="1"/>
  <c r="V131" i="26"/>
  <c r="X131" i="26" s="1"/>
  <c r="V99" i="26"/>
  <c r="W99" i="26" s="1"/>
  <c r="X104" i="26"/>
  <c r="X102" i="26"/>
  <c r="X100" i="26"/>
  <c r="W100" i="26"/>
  <c r="X86" i="26"/>
  <c r="W86" i="26"/>
  <c r="V163" i="26"/>
  <c r="V152" i="26"/>
  <c r="V158" i="26"/>
  <c r="V153" i="26"/>
  <c r="V155" i="26"/>
  <c r="V161" i="26"/>
  <c r="V162" i="26"/>
  <c r="W84" i="26"/>
  <c r="T81" i="26"/>
  <c r="U81" i="26"/>
  <c r="X120" i="26"/>
  <c r="U125" i="26"/>
  <c r="T125" i="26"/>
  <c r="T103" i="26"/>
  <c r="U103" i="26"/>
  <c r="T129" i="26"/>
  <c r="U129" i="26"/>
  <c r="V96" i="26"/>
  <c r="U126" i="26"/>
  <c r="T126" i="26"/>
  <c r="W101" i="26"/>
  <c r="T106" i="26"/>
  <c r="U106" i="26"/>
  <c r="X98" i="26"/>
  <c r="U128" i="26"/>
  <c r="T128" i="26"/>
  <c r="U82" i="26"/>
  <c r="T82" i="26"/>
  <c r="D7" i="37"/>
  <c r="C59" i="29"/>
  <c r="F57" i="29"/>
  <c r="F59" i="29" s="1"/>
  <c r="C73" i="29"/>
  <c r="F71" i="29"/>
  <c r="F73" i="29" s="1"/>
  <c r="D73" i="29"/>
  <c r="C66" i="29"/>
  <c r="F64" i="29"/>
  <c r="F66" i="29" s="1"/>
  <c r="E73" i="29"/>
  <c r="C81" i="29"/>
  <c r="F79" i="29"/>
  <c r="F81" i="29" s="1"/>
  <c r="F87" i="29"/>
  <c r="F89" i="29" s="1"/>
  <c r="C89" i="29"/>
  <c r="E81" i="29"/>
  <c r="E39" i="4" l="1"/>
  <c r="C114" i="4"/>
  <c r="C115" i="4" s="1"/>
  <c r="E11" i="4"/>
  <c r="E27" i="4"/>
  <c r="E19" i="4"/>
  <c r="E15" i="4"/>
  <c r="E35" i="4"/>
  <c r="E114" i="4"/>
  <c r="E115" i="4" s="1"/>
  <c r="D48" i="4"/>
  <c r="E47" i="4"/>
  <c r="D114" i="4"/>
  <c r="D115" i="4" s="1"/>
  <c r="E23" i="4"/>
  <c r="E31" i="4"/>
  <c r="H108" i="4"/>
  <c r="H109" i="4" s="1"/>
  <c r="E43" i="4"/>
  <c r="E63" i="4"/>
  <c r="E64" i="4"/>
  <c r="F44" i="4" a="1"/>
  <c r="F44" i="4" s="1"/>
  <c r="B120" i="4" s="1"/>
  <c r="F40" i="4" a="1"/>
  <c r="F40" i="4" s="1"/>
  <c r="F36" i="4" a="1"/>
  <c r="F36" i="4" s="1"/>
  <c r="F32" i="4" a="1"/>
  <c r="F32" i="4" s="1"/>
  <c r="F28" i="4" a="1"/>
  <c r="F28" i="4" s="1"/>
  <c r="F24" i="4" a="1"/>
  <c r="F24" i="4" s="1"/>
  <c r="F20" i="4" a="1"/>
  <c r="F20" i="4" s="1"/>
  <c r="F16" i="4" a="1"/>
  <c r="F16" i="4" s="1"/>
  <c r="F12" i="4" a="1"/>
  <c r="F12" i="4" s="1"/>
  <c r="F8" i="4" a="1"/>
  <c r="F8" i="4" s="1"/>
  <c r="Z11" i="1"/>
  <c r="E80" i="30"/>
  <c r="E82" i="30" s="1"/>
  <c r="B82" i="30"/>
  <c r="E88" i="30"/>
  <c r="E90" i="30" s="1"/>
  <c r="C88" i="30"/>
  <c r="C90" i="30" s="1"/>
  <c r="B90" i="30"/>
  <c r="W108" i="26"/>
  <c r="V115" i="26"/>
  <c r="V111" i="26"/>
  <c r="V114" i="26"/>
  <c r="V119" i="26"/>
  <c r="V118" i="26"/>
  <c r="V117" i="26"/>
  <c r="X108" i="26"/>
  <c r="V116" i="26"/>
  <c r="V109" i="26"/>
  <c r="V110" i="26"/>
  <c r="V113" i="26"/>
  <c r="V112" i="26"/>
  <c r="V97" i="26"/>
  <c r="V156" i="26"/>
  <c r="V147" i="26"/>
  <c r="V145" i="26"/>
  <c r="V33" i="24"/>
  <c r="Z22" i="1"/>
  <c r="Z19" i="1"/>
  <c r="Z15" i="1"/>
  <c r="V30" i="24"/>
  <c r="V32" i="24"/>
  <c r="V59" i="2"/>
  <c r="V41" i="2"/>
  <c r="V126" i="26"/>
  <c r="X126" i="26" s="1"/>
  <c r="V34" i="24"/>
  <c r="V27" i="2"/>
  <c r="V66" i="2"/>
  <c r="V160" i="26"/>
  <c r="V133" i="26"/>
  <c r="V128" i="26"/>
  <c r="X128" i="26" s="1"/>
  <c r="V89" i="26"/>
  <c r="V144" i="26"/>
  <c r="V159" i="26"/>
  <c r="V164" i="26"/>
  <c r="V166" i="26"/>
  <c r="V148" i="26"/>
  <c r="Z49" i="24"/>
  <c r="Z132" i="24"/>
  <c r="Z142" i="24" s="1"/>
  <c r="Z48" i="1"/>
  <c r="Z13" i="1"/>
  <c r="Z23" i="1"/>
  <c r="V109" i="24"/>
  <c r="H8" i="28" s="1" a="1"/>
  <c r="H8" i="28" s="1"/>
  <c r="AC8" i="28" s="1"/>
  <c r="AC28" i="28" s="1"/>
  <c r="B87" i="28" s="1"/>
  <c r="F87" i="28" s="1"/>
  <c r="I3" i="37" s="1"/>
  <c r="V121" i="24"/>
  <c r="X80" i="26"/>
  <c r="W80" i="26"/>
  <c r="V82" i="26"/>
  <c r="X82" i="26" s="1"/>
  <c r="V91" i="26"/>
  <c r="V150" i="26"/>
  <c r="V149" i="26"/>
  <c r="V141" i="26"/>
  <c r="V169" i="26"/>
  <c r="V151" i="26"/>
  <c r="X99" i="26"/>
  <c r="V35" i="24"/>
  <c r="V47" i="24"/>
  <c r="Z58" i="1"/>
  <c r="Z39" i="1"/>
  <c r="Z16" i="1"/>
  <c r="F88" i="30"/>
  <c r="F90" i="30" s="1"/>
  <c r="B65" i="28"/>
  <c r="T33" i="28"/>
  <c r="C63" i="28"/>
  <c r="C65" i="28" s="1"/>
  <c r="E63" i="28"/>
  <c r="E65" i="28" s="1"/>
  <c r="F19" i="28"/>
  <c r="E16" i="37"/>
  <c r="B18" i="36"/>
  <c r="E66" i="30"/>
  <c r="E68" i="30" s="1"/>
  <c r="B68" i="30"/>
  <c r="D66" i="30"/>
  <c r="D68" i="30" s="1"/>
  <c r="C66" i="30"/>
  <c r="D96" i="30"/>
  <c r="D98" i="30" s="1"/>
  <c r="C96" i="30"/>
  <c r="E96" i="30"/>
  <c r="E98" i="30" s="1"/>
  <c r="B98" i="30"/>
  <c r="F80" i="30"/>
  <c r="F82" i="30" s="1"/>
  <c r="C82" i="30"/>
  <c r="B75" i="30"/>
  <c r="D73" i="30"/>
  <c r="C73" i="30"/>
  <c r="E73" i="30"/>
  <c r="E75" i="30" s="1"/>
  <c r="Z49" i="1"/>
  <c r="Z33" i="1"/>
  <c r="Z30" i="1"/>
  <c r="Z40" i="1"/>
  <c r="Z57" i="1"/>
  <c r="Z29" i="1"/>
  <c r="Z35" i="1"/>
  <c r="V125" i="26"/>
  <c r="X125" i="26" s="1"/>
  <c r="W131" i="26"/>
  <c r="X127" i="26"/>
  <c r="V106" i="26"/>
  <c r="X106" i="26" s="1"/>
  <c r="V92" i="24"/>
  <c r="Z50" i="24"/>
  <c r="V26" i="24"/>
  <c r="V142" i="24"/>
  <c r="V133" i="24"/>
  <c r="V143" i="24"/>
  <c r="V136" i="24"/>
  <c r="V43" i="24"/>
  <c r="V122" i="24"/>
  <c r="V44" i="24"/>
  <c r="V135" i="24"/>
  <c r="V145" i="24"/>
  <c r="V140" i="24"/>
  <c r="V91" i="24"/>
  <c r="V41" i="24"/>
  <c r="V139" i="24"/>
  <c r="V137" i="24"/>
  <c r="Y16" i="28"/>
  <c r="G18" i="28"/>
  <c r="G17" i="28"/>
  <c r="Z100" i="24"/>
  <c r="F14" i="28"/>
  <c r="F31" i="28" s="1"/>
  <c r="F13" i="28"/>
  <c r="F30" i="28" s="1"/>
  <c r="F23" i="28"/>
  <c r="F11" i="28"/>
  <c r="E28" i="28"/>
  <c r="C22" i="36" s="1"/>
  <c r="G25" i="28"/>
  <c r="G26" i="28"/>
  <c r="F27" i="28"/>
  <c r="Z36" i="1"/>
  <c r="Z60" i="1"/>
  <c r="Z59" i="1"/>
  <c r="Z34" i="1"/>
  <c r="Z32" i="1"/>
  <c r="Z18" i="1"/>
  <c r="Z45" i="1"/>
  <c r="Z31" i="1"/>
  <c r="V129" i="24"/>
  <c r="Z110" i="24"/>
  <c r="Z107" i="24"/>
  <c r="Z102" i="24"/>
  <c r="Z101" i="24"/>
  <c r="V75" i="24"/>
  <c r="V83" i="24"/>
  <c r="Z82" i="24"/>
  <c r="Z88" i="24" s="1"/>
  <c r="V87" i="24"/>
  <c r="Z77" i="24"/>
  <c r="Z79" i="24"/>
  <c r="V90" i="24"/>
  <c r="V84" i="24"/>
  <c r="V63" i="24"/>
  <c r="Z61" i="24"/>
  <c r="R56" i="24"/>
  <c r="G12" i="28" s="1" a="1"/>
  <c r="G12" i="28" s="1"/>
  <c r="G29" i="28" s="1"/>
  <c r="R53" i="24"/>
  <c r="R55" i="24"/>
  <c r="V37" i="24"/>
  <c r="R22" i="24"/>
  <c r="R20" i="24"/>
  <c r="R17" i="24"/>
  <c r="Z28" i="24"/>
  <c r="Z31" i="24" s="1"/>
  <c r="Z25" i="24"/>
  <c r="R19" i="24"/>
  <c r="Z12" i="24"/>
  <c r="R21" i="24"/>
  <c r="Z30" i="24"/>
  <c r="Z29" i="24"/>
  <c r="Z32" i="24"/>
  <c r="Z33" i="24"/>
  <c r="V127" i="24"/>
  <c r="Z80" i="24"/>
  <c r="Z39" i="24"/>
  <c r="Z125" i="24"/>
  <c r="Z106" i="24"/>
  <c r="Z99" i="24"/>
  <c r="V124" i="24"/>
  <c r="Z103" i="24"/>
  <c r="V128" i="24"/>
  <c r="V36" i="24"/>
  <c r="V11" i="24"/>
  <c r="V16" i="24"/>
  <c r="V17" i="24" s="1"/>
  <c r="H24" i="28" s="1" a="1"/>
  <c r="H24" i="28" s="1"/>
  <c r="I24" i="28" s="1"/>
  <c r="Z23" i="24"/>
  <c r="Z119" i="24"/>
  <c r="V120" i="24"/>
  <c r="R58" i="24"/>
  <c r="V42" i="24"/>
  <c r="Z104" i="24"/>
  <c r="R54" i="24"/>
  <c r="V48" i="24"/>
  <c r="Z131" i="24"/>
  <c r="Y48" i="24"/>
  <c r="X48" i="24"/>
  <c r="Z139" i="24"/>
  <c r="Z136" i="24"/>
  <c r="Z135" i="24"/>
  <c r="Z137" i="24"/>
  <c r="Z133" i="24"/>
  <c r="Z134" i="24"/>
  <c r="Z138" i="24"/>
  <c r="Z111" i="24"/>
  <c r="Z116" i="24" s="1"/>
  <c r="X16" i="24"/>
  <c r="Y16" i="24"/>
  <c r="Z51" i="24"/>
  <c r="V94" i="24"/>
  <c r="Y75" i="24"/>
  <c r="X75" i="24"/>
  <c r="Y26" i="24"/>
  <c r="X26" i="24"/>
  <c r="V81" i="24"/>
  <c r="V52" i="24"/>
  <c r="V12" i="28"/>
  <c r="V59" i="24"/>
  <c r="V130" i="24"/>
  <c r="H16" i="28" s="1" a="1"/>
  <c r="H16" i="28" s="1"/>
  <c r="I16" i="28" s="1"/>
  <c r="X52" i="24"/>
  <c r="Y52" i="24"/>
  <c r="X129" i="24"/>
  <c r="Y129" i="24"/>
  <c r="Z96" i="24"/>
  <c r="Z105" i="24"/>
  <c r="Z40" i="24"/>
  <c r="Z41" i="24" s="1"/>
  <c r="I8" i="28"/>
  <c r="Y24" i="28"/>
  <c r="Z93" i="24"/>
  <c r="V13" i="24"/>
  <c r="V76" i="24"/>
  <c r="Z24" i="24"/>
  <c r="X13" i="24"/>
  <c r="Y13" i="24"/>
  <c r="Z114" i="24"/>
  <c r="Z118" i="24"/>
  <c r="Z115" i="24"/>
  <c r="Z112" i="24"/>
  <c r="X35" i="24"/>
  <c r="Y35" i="24"/>
  <c r="Z89" i="24"/>
  <c r="X94" i="24"/>
  <c r="Y94" i="24"/>
  <c r="Y109" i="24"/>
  <c r="X109" i="24"/>
  <c r="Y124" i="24"/>
  <c r="X124" i="24"/>
  <c r="Z124" i="24" s="1"/>
  <c r="Y11" i="24"/>
  <c r="X11" i="24"/>
  <c r="X127" i="24"/>
  <c r="Y127" i="24"/>
  <c r="Z127" i="24" s="1"/>
  <c r="X120" i="24"/>
  <c r="Y120" i="24"/>
  <c r="Y76" i="24"/>
  <c r="X76" i="24"/>
  <c r="Z76" i="24" s="1"/>
  <c r="Y122" i="24"/>
  <c r="X122" i="24"/>
  <c r="X37" i="24"/>
  <c r="Y37" i="24"/>
  <c r="X130" i="24"/>
  <c r="Y130" i="24"/>
  <c r="X64" i="24"/>
  <c r="Y64" i="24"/>
  <c r="Y92" i="24"/>
  <c r="X92" i="24"/>
  <c r="Y121" i="24"/>
  <c r="X121" i="24"/>
  <c r="X36" i="24"/>
  <c r="Y36" i="24"/>
  <c r="X128" i="24"/>
  <c r="Y128" i="24"/>
  <c r="Y81" i="24"/>
  <c r="X81" i="24"/>
  <c r="X47" i="24"/>
  <c r="Y47" i="24"/>
  <c r="Z47" i="24" s="1"/>
  <c r="X59" i="24"/>
  <c r="Y59" i="24"/>
  <c r="B71" i="28"/>
  <c r="F71" i="28" s="1"/>
  <c r="G3" i="37" s="1"/>
  <c r="Y63" i="24"/>
  <c r="X63" i="24"/>
  <c r="X91" i="24"/>
  <c r="Y91" i="24"/>
  <c r="V90" i="26"/>
  <c r="V92" i="26"/>
  <c r="X87" i="26"/>
  <c r="V93" i="26"/>
  <c r="X88" i="26"/>
  <c r="V95" i="26"/>
  <c r="V94" i="26"/>
  <c r="V81" i="26"/>
  <c r="W81" i="26" s="1"/>
  <c r="V138" i="26"/>
  <c r="V135" i="26"/>
  <c r="V157" i="26"/>
  <c r="V167" i="26"/>
  <c r="V170" i="26"/>
  <c r="V154" i="26"/>
  <c r="W106" i="26"/>
  <c r="V129" i="26"/>
  <c r="W129" i="26" s="1"/>
  <c r="W132" i="26"/>
  <c r="V143" i="26"/>
  <c r="V146" i="26"/>
  <c r="V142" i="26"/>
  <c r="X132" i="26"/>
  <c r="V137" i="26"/>
  <c r="V140" i="26"/>
  <c r="V139" i="26"/>
  <c r="V124" i="26"/>
  <c r="V103" i="26"/>
  <c r="W103" i="26" s="1"/>
  <c r="V168" i="26"/>
  <c r="V165" i="26"/>
  <c r="V134" i="26"/>
  <c r="W126" i="26"/>
  <c r="W82" i="26"/>
  <c r="H114" i="4" l="1"/>
  <c r="H115" i="4" s="1"/>
  <c r="E48" i="4"/>
  <c r="D11" i="19" s="1"/>
  <c r="D19" i="19" s="1"/>
  <c r="C11" i="19"/>
  <c r="C19" i="19" s="1"/>
  <c r="F19" i="37" s="1"/>
  <c r="B121" i="4"/>
  <c r="C120" i="4"/>
  <c r="C121" i="4" s="1"/>
  <c r="F26" i="4"/>
  <c r="G26" i="4" s="1"/>
  <c r="F25" i="4"/>
  <c r="G25" i="4" s="1"/>
  <c r="G24" i="4"/>
  <c r="F42" i="4"/>
  <c r="G42" i="4" s="1"/>
  <c r="F41" i="4"/>
  <c r="G41" i="4" s="1"/>
  <c r="G40" i="4"/>
  <c r="D120" i="4"/>
  <c r="D121" i="4" s="1"/>
  <c r="F14" i="4"/>
  <c r="G14" i="4" s="1"/>
  <c r="F13" i="4"/>
  <c r="G13" i="4" s="1"/>
  <c r="G12" i="4"/>
  <c r="F29" i="4"/>
  <c r="G29" i="4" s="1"/>
  <c r="F30" i="4"/>
  <c r="G30" i="4" s="1"/>
  <c r="G28" i="4"/>
  <c r="F45" i="4"/>
  <c r="G45" i="4" s="1"/>
  <c r="F46" i="4"/>
  <c r="G46" i="4" s="1"/>
  <c r="G44" i="4"/>
  <c r="E120" i="4"/>
  <c r="E121" i="4" s="1"/>
  <c r="F18" i="4"/>
  <c r="G18" i="4" s="1"/>
  <c r="F17" i="4"/>
  <c r="G17" i="4" s="1"/>
  <c r="G16" i="4"/>
  <c r="F34" i="4"/>
  <c r="G34" i="4" s="1"/>
  <c r="F33" i="4"/>
  <c r="G33" i="4" s="1"/>
  <c r="G32" i="4"/>
  <c r="F10" i="4"/>
  <c r="F9" i="4"/>
  <c r="F62" i="4"/>
  <c r="G8" i="4"/>
  <c r="F21" i="4"/>
  <c r="G21" i="4" s="1"/>
  <c r="F22" i="4"/>
  <c r="G22" i="4" s="1"/>
  <c r="G20" i="4"/>
  <c r="F37" i="4"/>
  <c r="G37" i="4" s="1"/>
  <c r="F38" i="4"/>
  <c r="G38" i="4" s="1"/>
  <c r="G36" i="4"/>
  <c r="Z145" i="24"/>
  <c r="Z143" i="24"/>
  <c r="Z144" i="24"/>
  <c r="Z34" i="24"/>
  <c r="H10" i="28"/>
  <c r="I10" i="28" s="1"/>
  <c r="W128" i="26"/>
  <c r="W125" i="26"/>
  <c r="H9" i="28"/>
  <c r="H11" i="28" s="1"/>
  <c r="I11" i="28" s="1"/>
  <c r="Z16" i="24"/>
  <c r="Z141" i="24"/>
  <c r="Z140" i="24"/>
  <c r="Z85" i="24"/>
  <c r="E19" i="37"/>
  <c r="F63" i="28"/>
  <c r="F65" i="28" s="1"/>
  <c r="G65" i="28" s="1"/>
  <c r="B22" i="36"/>
  <c r="B23" i="36" s="1"/>
  <c r="C68" i="30"/>
  <c r="F66" i="30"/>
  <c r="F68" i="30" s="1"/>
  <c r="C98" i="30"/>
  <c r="F96" i="30"/>
  <c r="F98" i="30" s="1"/>
  <c r="D75" i="30"/>
  <c r="F4" i="37"/>
  <c r="F73" i="30"/>
  <c r="F75" i="30" s="1"/>
  <c r="C75" i="30"/>
  <c r="F5" i="37"/>
  <c r="F6" i="37"/>
  <c r="X129" i="26"/>
  <c r="X81" i="26"/>
  <c r="F16" i="37"/>
  <c r="C18" i="36"/>
  <c r="C23" i="36" s="1"/>
  <c r="Z64" i="24"/>
  <c r="Z122" i="24"/>
  <c r="Z11" i="24"/>
  <c r="Z26" i="24"/>
  <c r="AF8" i="28"/>
  <c r="Y12" i="28"/>
  <c r="G13" i="28"/>
  <c r="G30" i="28" s="1"/>
  <c r="G14" i="28"/>
  <c r="G31" i="28" s="1"/>
  <c r="H17" i="28"/>
  <c r="H18" i="28"/>
  <c r="I18" i="28" s="1"/>
  <c r="AF28" i="28"/>
  <c r="Z86" i="24"/>
  <c r="D3" i="37"/>
  <c r="Z87" i="24"/>
  <c r="Z84" i="24"/>
  <c r="Z90" i="24"/>
  <c r="Z83" i="24"/>
  <c r="F15" i="28"/>
  <c r="G19" i="28"/>
  <c r="I17" i="28"/>
  <c r="G27" i="28"/>
  <c r="AB24" i="28"/>
  <c r="AE24" i="28" s="1"/>
  <c r="H26" i="28"/>
  <c r="I26" i="28" s="1"/>
  <c r="H25" i="28"/>
  <c r="Z120" i="24"/>
  <c r="Z36" i="24"/>
  <c r="H20" i="28" a="1"/>
  <c r="H20" i="28" s="1"/>
  <c r="V18" i="24"/>
  <c r="V20" i="24"/>
  <c r="V21" i="24"/>
  <c r="Z43" i="24"/>
  <c r="Z75" i="24"/>
  <c r="Z109" i="24"/>
  <c r="Z35" i="24"/>
  <c r="Z46" i="24"/>
  <c r="Z42" i="24"/>
  <c r="Z52" i="24"/>
  <c r="Z57" i="24" s="1"/>
  <c r="Z48" i="24"/>
  <c r="V19" i="24"/>
  <c r="Z117" i="24"/>
  <c r="V22" i="24"/>
  <c r="Z63" i="24"/>
  <c r="Z113" i="24"/>
  <c r="Z37" i="24"/>
  <c r="AB16" i="28"/>
  <c r="AE16" i="28" s="1"/>
  <c r="Z59" i="24"/>
  <c r="Z13" i="24"/>
  <c r="Z94" i="24"/>
  <c r="Z130" i="24"/>
  <c r="Z129" i="24"/>
  <c r="Z128" i="24"/>
  <c r="V28" i="28"/>
  <c r="Z91" i="24"/>
  <c r="Z45" i="24"/>
  <c r="Z17" i="24"/>
  <c r="Z19" i="24"/>
  <c r="Z20" i="24"/>
  <c r="Z21" i="24"/>
  <c r="Z22" i="24"/>
  <c r="Z18" i="24"/>
  <c r="V57" i="24"/>
  <c r="H12" i="28" s="1" a="1"/>
  <c r="H12" i="28" s="1"/>
  <c r="V58" i="24"/>
  <c r="V55" i="24"/>
  <c r="V54" i="24"/>
  <c r="V53" i="24"/>
  <c r="V56" i="24"/>
  <c r="Z81" i="24"/>
  <c r="Z121" i="24"/>
  <c r="Z44" i="24"/>
  <c r="Y28" i="28"/>
  <c r="Z92" i="24"/>
  <c r="X124" i="26"/>
  <c r="W124" i="26"/>
  <c r="X103" i="26"/>
  <c r="P28" i="28"/>
  <c r="H120" i="4" l="1"/>
  <c r="H121" i="4" s="1"/>
  <c r="G62" i="4"/>
  <c r="H62" i="4" s="1"/>
  <c r="F64" i="4"/>
  <c r="G10" i="4"/>
  <c r="G64" i="4" s="1"/>
  <c r="F39" i="4"/>
  <c r="G39" i="4" s="1"/>
  <c r="F23" i="4"/>
  <c r="G23" i="4" s="1"/>
  <c r="F47" i="4"/>
  <c r="G47" i="4" s="1"/>
  <c r="F31" i="4"/>
  <c r="G31" i="4" s="1"/>
  <c r="F15" i="4"/>
  <c r="G15" i="4" s="1"/>
  <c r="F63" i="4"/>
  <c r="G9" i="4"/>
  <c r="G63" i="4" s="1"/>
  <c r="F11" i="4"/>
  <c r="F35" i="4"/>
  <c r="G35" i="4" s="1"/>
  <c r="F19" i="4"/>
  <c r="G19" i="4" s="1"/>
  <c r="F43" i="4"/>
  <c r="G43" i="4" s="1"/>
  <c r="F27" i="4"/>
  <c r="G27" i="4" s="1"/>
  <c r="I9" i="28"/>
  <c r="F18" i="37"/>
  <c r="F20" i="37" s="1"/>
  <c r="H29" i="28"/>
  <c r="F22" i="37"/>
  <c r="H19" i="28"/>
  <c r="I19" i="28" s="1"/>
  <c r="AB20" i="28"/>
  <c r="AE20" i="28" s="1"/>
  <c r="H22" i="28"/>
  <c r="I22" i="28" s="1"/>
  <c r="H21" i="28"/>
  <c r="I20" i="28"/>
  <c r="F28" i="28"/>
  <c r="Z53" i="24"/>
  <c r="H13" i="28"/>
  <c r="H30" i="28" s="1"/>
  <c r="H14" i="28"/>
  <c r="Z58" i="24"/>
  <c r="H27" i="28"/>
  <c r="I12" i="28"/>
  <c r="I29" i="28" s="1"/>
  <c r="G15" i="28"/>
  <c r="I25" i="28"/>
  <c r="B127" i="4"/>
  <c r="Z54" i="24"/>
  <c r="Z56" i="24"/>
  <c r="Z55" i="24"/>
  <c r="AB12" i="28"/>
  <c r="B70" i="28"/>
  <c r="W33" i="28"/>
  <c r="Z33" i="28"/>
  <c r="B78" i="28"/>
  <c r="B56" i="28"/>
  <c r="Q33" i="28"/>
  <c r="H64" i="4" l="1"/>
  <c r="F48" i="4"/>
  <c r="G11" i="4"/>
  <c r="G48" i="4" s="1"/>
  <c r="H63" i="4"/>
  <c r="I14" i="28"/>
  <c r="I31" i="28" s="1"/>
  <c r="H31" i="28"/>
  <c r="G28" i="28"/>
  <c r="H23" i="28"/>
  <c r="I23" i="28" s="1"/>
  <c r="I21" i="28"/>
  <c r="D18" i="36"/>
  <c r="H15" i="28"/>
  <c r="I15" i="28" s="1"/>
  <c r="I13" i="28"/>
  <c r="I30" i="28" s="1"/>
  <c r="I27" i="28"/>
  <c r="D56" i="28"/>
  <c r="E4" i="37" s="1"/>
  <c r="C56" i="28"/>
  <c r="D127" i="4"/>
  <c r="D128" i="4" s="1"/>
  <c r="E127" i="4"/>
  <c r="E128" i="4" s="1"/>
  <c r="B128" i="4"/>
  <c r="C127" i="4"/>
  <c r="AB28" i="28"/>
  <c r="AE12" i="28"/>
  <c r="E78" i="28"/>
  <c r="C78" i="28"/>
  <c r="B80" i="28"/>
  <c r="D78" i="28"/>
  <c r="E70" i="28"/>
  <c r="C70" i="28"/>
  <c r="B72" i="28"/>
  <c r="D70" i="28"/>
  <c r="E56" i="28"/>
  <c r="E58" i="28" s="1"/>
  <c r="E6" i="37" s="1"/>
  <c r="B58" i="28"/>
  <c r="F27" i="37"/>
  <c r="D14" i="37"/>
  <c r="E11" i="19" l="1"/>
  <c r="I28" i="28"/>
  <c r="H28" i="28"/>
  <c r="E18" i="36"/>
  <c r="G16" i="37"/>
  <c r="D22" i="36"/>
  <c r="D23" i="36" s="1"/>
  <c r="D58" i="28"/>
  <c r="F56" i="28"/>
  <c r="F58" i="28" s="1"/>
  <c r="G58" i="28" s="1"/>
  <c r="C58" i="28"/>
  <c r="E5" i="37" s="1"/>
  <c r="E22" i="37" s="1"/>
  <c r="H127" i="4"/>
  <c r="H128" i="4" s="1"/>
  <c r="C128" i="4"/>
  <c r="C72" i="28"/>
  <c r="G5" i="37" s="1"/>
  <c r="F70" i="28"/>
  <c r="F72" i="28" s="1"/>
  <c r="G72" i="28" s="1"/>
  <c r="E80" i="28"/>
  <c r="H6" i="37"/>
  <c r="E72" i="28"/>
  <c r="G6" i="37"/>
  <c r="C80" i="28"/>
  <c r="H5" i="37" s="1"/>
  <c r="F78" i="28"/>
  <c r="F80" i="28" s="1"/>
  <c r="G80" i="28" s="1"/>
  <c r="D80" i="28"/>
  <c r="H4" i="37"/>
  <c r="G4" i="37"/>
  <c r="D72" i="28"/>
  <c r="B86" i="28"/>
  <c r="AC33" i="28"/>
  <c r="AE28" i="28"/>
  <c r="AF33" i="28" s="1"/>
  <c r="F11" i="19" l="1"/>
  <c r="F19" i="19" s="1"/>
  <c r="E19" i="19"/>
  <c r="G19" i="37" s="1"/>
  <c r="E22" i="36"/>
  <c r="E23" i="36" s="1"/>
  <c r="H16" i="37"/>
  <c r="H18" i="37" s="1"/>
  <c r="H19" i="37"/>
  <c r="E18" i="37"/>
  <c r="E20" i="37" s="1"/>
  <c r="E27" i="37"/>
  <c r="D86" i="28"/>
  <c r="B88" i="28"/>
  <c r="E86" i="28"/>
  <c r="C86" i="28"/>
  <c r="G22" i="37"/>
  <c r="G18" i="37"/>
  <c r="H22" i="37"/>
  <c r="G20" i="37" l="1"/>
  <c r="G27" i="37"/>
  <c r="H27" i="37"/>
  <c r="H20" i="37"/>
  <c r="I19" i="37"/>
  <c r="F18" i="36"/>
  <c r="G18" i="36" s="1"/>
  <c r="I6" i="37"/>
  <c r="D6" i="37" s="1"/>
  <c r="E88" i="28"/>
  <c r="D88" i="28"/>
  <c r="I4" i="37"/>
  <c r="F86" i="28"/>
  <c r="F88" i="28" s="1"/>
  <c r="G88" i="28" s="1"/>
  <c r="I5" i="37"/>
  <c r="D5" i="37" s="1"/>
  <c r="C88" i="28"/>
  <c r="I16" i="37" l="1"/>
  <c r="D16" i="37" s="1"/>
  <c r="F22" i="36"/>
  <c r="G22" i="36" s="1"/>
  <c r="G23" i="36" s="1"/>
  <c r="D19" i="37"/>
  <c r="I18" i="37"/>
  <c r="I20" i="37" s="1"/>
  <c r="I22" i="37"/>
  <c r="I27" i="37"/>
  <c r="D4" i="37"/>
  <c r="F23" i="36" l="1"/>
  <c r="D18" i="37"/>
  <c r="D20" i="37" s="1"/>
  <c r="D27" i="37"/>
  <c r="D2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4EA7301A-EEE3-4F8F-8319-EBD8DE5FBEBF}">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K6" authorId="0" shapeId="0" xr:uid="{2307FA69-6850-42B8-B064-CE276FB6D991}">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3" authorId="0" shapeId="0" xr:uid="{23BC8546-13B9-4B5B-BFCE-E390D7F17799}">
      <text>
        <r>
          <rPr>
            <b/>
            <sz val="9"/>
            <color indexed="81"/>
            <rFont val="Tahoma"/>
            <family val="2"/>
          </rPr>
          <t xml:space="preserve">UCD PRE-AWARD ACCOUNTANT 
</t>
        </r>
        <r>
          <rPr>
            <sz val="9"/>
            <color indexed="81"/>
            <rFont val="Tahoma"/>
            <family val="2"/>
          </rPr>
          <t xml:space="preserve">The Laurate Call 2021 states that a pension charge for research assistants and post-doctoral researchers is not an eligbile cost for this grant. Therefore, the pension contribution is set at zero. Pension charges for fellows are eligible and included in Pension Charge 2 calculation at 20%.
</t>
        </r>
      </text>
    </comment>
    <comment ref="J4" authorId="0" shapeId="0" xr:uid="{BAE4F3B8-52D0-4D05-9974-5D70E9EBC227}">
      <text>
        <r>
          <rPr>
            <b/>
            <sz val="9"/>
            <color indexed="81"/>
            <rFont val="Tahoma"/>
            <family val="2"/>
          </rPr>
          <t xml:space="preserve">UCD Pre-Award Accountant </t>
        </r>
        <r>
          <rPr>
            <sz val="9"/>
            <color indexed="81"/>
            <rFont val="Tahoma"/>
            <family val="2"/>
          </rPr>
          <t xml:space="preserve">
</t>
        </r>
        <r>
          <rPr>
            <b/>
            <sz val="9"/>
            <color indexed="81"/>
            <rFont val="Tahoma"/>
            <family val="2"/>
          </rPr>
          <t xml:space="preserve">NOTE: For the Laureate Call, the IRC has said that pension charges are not eligible for researchers. Therefore, the rate is set at 0%.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EE1F66F5-9BDB-4A59-BC45-B18EC41DF80F}">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F4" authorId="0" shapeId="0" xr:uid="{A6732B0D-C2A7-4471-B383-129B5278E2B9}">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DA8ED216-64F7-4F7D-8C2C-A8164876E429}">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F4" authorId="0" shapeId="0" xr:uid="{3E612F7D-7239-439D-BA29-E32C13BB88E6}">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235B139E-4D80-443F-A700-2A0301FBE5DD}">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F4" authorId="0" shapeId="0" xr:uid="{E58D3E54-2A44-4D95-99B6-0805DF9DBD03}">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<sst xmlns="http://schemas.openxmlformats.org/spreadsheetml/2006/main" count="2138" uniqueCount="590">
  <si>
    <t>Point</t>
  </si>
  <si>
    <t xml:space="preserve">Gross Salary Contribution </t>
  </si>
  <si>
    <t>Cost to Grant Budget</t>
  </si>
  <si>
    <t>Employer PRSI</t>
  </si>
  <si>
    <t xml:space="preserve">Pension charge </t>
  </si>
  <si>
    <t>EUR</t>
  </si>
  <si>
    <t xml:space="preserve">EUR </t>
  </si>
  <si>
    <t xml:space="preserve">Employer PRSI </t>
  </si>
  <si>
    <t xml:space="preserve">Pension Charge </t>
  </si>
  <si>
    <t xml:space="preserve">DO NOT CHANGE </t>
  </si>
  <si>
    <t>Researcher Salary Scales - Irish Universities Association</t>
  </si>
  <si>
    <t>UCD Academic Salary Scales - UCD HR Website</t>
  </si>
  <si>
    <t>Total</t>
  </si>
  <si>
    <t xml:space="preserve">Pension Charge (1) </t>
  </si>
  <si>
    <t>Pension Charge (2)</t>
  </si>
  <si>
    <t>PhD Student / Research Masters Student</t>
  </si>
  <si>
    <t>Full Professor  - Code: 7937 - Point 1</t>
  </si>
  <si>
    <t>Full Professor  - Code: 7937 - Point 2</t>
  </si>
  <si>
    <t>Full Professor  - Code: 7937 - Point 3</t>
  </si>
  <si>
    <t>Full Professor  - Code: 7937 - Point 4</t>
  </si>
  <si>
    <t>Full Professor  - Code: 7937 - Point 5</t>
  </si>
  <si>
    <t>Full Professor  - Code: 7937 - Point 6</t>
  </si>
  <si>
    <t>Full Professor  - Code: 7936 - Point 1</t>
  </si>
  <si>
    <t>Full Professor  - Code: 7936 - Point 2</t>
  </si>
  <si>
    <t>Full Professor  - Code: 7936 - Point 3</t>
  </si>
  <si>
    <t>Full Professor  - Code: 7936 - Point 4</t>
  </si>
  <si>
    <t xml:space="preserve">Full Professor  - Code: 7936 - Point 5 </t>
  </si>
  <si>
    <t>Full Professor  - Code: 7936 - Point 6</t>
  </si>
  <si>
    <t>Professor  - Code: 7939 - Point 1</t>
  </si>
  <si>
    <t>Professor  - Code: 7939 - Point 2</t>
  </si>
  <si>
    <t>Professor  - Code: 7939 - Point 3</t>
  </si>
  <si>
    <t>Professor  - Code: 7939 - Point 4</t>
  </si>
  <si>
    <t>Professor  - Code: 7939 - Point 5</t>
  </si>
  <si>
    <t>Professor  - Code: 7939 - Point 6</t>
  </si>
  <si>
    <t>Professor  - Code: 7938 - Point 1</t>
  </si>
  <si>
    <t>Professor  - Code: 7938 - Point 2</t>
  </si>
  <si>
    <t>Professor  - Code: 7938 - Point 3</t>
  </si>
  <si>
    <t>Professor  - Code: 7938 - Point 4</t>
  </si>
  <si>
    <t>Professor  - Code: 7938 - Point 5</t>
  </si>
  <si>
    <t xml:space="preserve">Professor  - Code: 7938 - Point 6 </t>
  </si>
  <si>
    <t>Associate Professor  - Code: 7941 - Point 1</t>
  </si>
  <si>
    <t>Associate Professor  - Code: 7941 - Point 2</t>
  </si>
  <si>
    <t>Associate Professor  - Code: 7941 - Point 3</t>
  </si>
  <si>
    <t>Associate Professor  - Code: 7941 - Point 4</t>
  </si>
  <si>
    <t>Associate Professor  - Code: 7941 - Point 5</t>
  </si>
  <si>
    <t>Associate Professor  - Code: 7941 - Point 6</t>
  </si>
  <si>
    <t>Associate Professor  - Code: 7941 - Point 7</t>
  </si>
  <si>
    <t xml:space="preserve">Associate Professor  - Code: 7941 - Point 8 </t>
  </si>
  <si>
    <t>Associate Professor  - Code: 7940 - Point 1</t>
  </si>
  <si>
    <t>Associate Professor  - Code: 7940 - Point 2</t>
  </si>
  <si>
    <t>Associate Professor  - Code: 7940 - Point 3</t>
  </si>
  <si>
    <t xml:space="preserve">Associate Professor  - Code: 7940 - Point 4 </t>
  </si>
  <si>
    <t xml:space="preserve">Associate Professor  - Code: 7940 - Point 5 </t>
  </si>
  <si>
    <t xml:space="preserve">Associate Professor  - Code: 7940 - Point 6 </t>
  </si>
  <si>
    <t xml:space="preserve">Associate Professor  - Code: 7940 - Point 7 </t>
  </si>
  <si>
    <t xml:space="preserve">Associate Professor  - Code: 7940 - Point 8 </t>
  </si>
  <si>
    <t>Lecturer/Asst Prof above the bar  - Code: 7943 - Point 1</t>
  </si>
  <si>
    <t>Lecturer/Asst Prof above the bar  - Code: 7943 - Point 3</t>
  </si>
  <si>
    <t xml:space="preserve">Lecturer/Asst Prof above the bar  - Code: 7943 - Point 4 </t>
  </si>
  <si>
    <t>Lecturer/Asst Prof above the bar  - Code: 7943 - Point 5</t>
  </si>
  <si>
    <t xml:space="preserve">Lecturer/Asst Prof above the bar  - Code: 7943 - Point 7 </t>
  </si>
  <si>
    <t>Lecturer/Asst Prof above the bar  - Code: 7943 - Point 2</t>
  </si>
  <si>
    <t>Lecturer/Asst Prof above the bar  - Code: 7943 - Point 6</t>
  </si>
  <si>
    <t>Lecturer/Asst Prof above the bar  - Code: 7942 - Point 1</t>
  </si>
  <si>
    <t>Lecturer/Asst Prof above the bar  - Code: 7942 - Point 2</t>
  </si>
  <si>
    <t>Lecturer/Asst Prof above the bar  - Code: 7942 - Point 3</t>
  </si>
  <si>
    <t xml:space="preserve">Lecturer/Asst Prof above the bar  - Code: 7942 - Point 4 </t>
  </si>
  <si>
    <t>Lecturer/Asst Prof above the bar  - Code: 7942 - Point 5</t>
  </si>
  <si>
    <t xml:space="preserve">Lecturer/Asst Prof above the bar  - Code: 7942 - Point 6 </t>
  </si>
  <si>
    <t xml:space="preserve">Lecturer/Asst Prof above the bar  - Code: 7942 - Point 7 </t>
  </si>
  <si>
    <t>Lecturer/Asst Prof below the bar  - Code: 7944 - Point 1</t>
  </si>
  <si>
    <t>Lecturer/Asst Prof below the bar  - Code: 7944 - Point 2</t>
  </si>
  <si>
    <t>Lecturer/Asst Prof below the bar  - Code: 7944 - Point 3</t>
  </si>
  <si>
    <t>Lecturer/Asst Prof below the bar  - Code: 7944 - Point 4</t>
  </si>
  <si>
    <t>Lecturer/Asst Prof below the bar  - Code: 7944 - Point 5</t>
  </si>
  <si>
    <t xml:space="preserve">Lecturer/Asst Prof below the bar  - Code: 7944 - Point 6 </t>
  </si>
  <si>
    <t xml:space="preserve">Lecturer/Asst Prof below the bar  - Code: 7944 - Point 7 </t>
  </si>
  <si>
    <t xml:space="preserve">Lecturer/Asst Prof below the bar  - Code: 7944 - Point 8 </t>
  </si>
  <si>
    <t xml:space="preserve">Lecturer/Asst Prof below the bar  - Code: 7944 - Point 9 </t>
  </si>
  <si>
    <t>Lecturer/Asst Prof below the bar  - Code: 7944 - Point 10</t>
  </si>
  <si>
    <t>Lecturer/Asst Prof below the bar  - Code: 7944 - Point 11</t>
  </si>
  <si>
    <t>Lecturer/Asst Prof below the bar  - Code: 7944 - Point 12</t>
  </si>
  <si>
    <t>Lecturer/Asst Prof below the bar  - Code: 7944 - Point 13</t>
  </si>
  <si>
    <t>Lecturer/Asst Prof below the bar  - Code: 7944 - Point 14</t>
  </si>
  <si>
    <t>Research Assistant - Point 1</t>
  </si>
  <si>
    <t>Research Assistant - Point 2</t>
  </si>
  <si>
    <t>Research Assistant - Point 3</t>
  </si>
  <si>
    <t>Research Assistant - Point 4</t>
  </si>
  <si>
    <t>Research Assistant - Point 5</t>
  </si>
  <si>
    <t>Research Assistant - Point 6</t>
  </si>
  <si>
    <t>Research Assistant - Point 7</t>
  </si>
  <si>
    <t>Research Assistant - Point 8</t>
  </si>
  <si>
    <t>Research Assistant - Point 9</t>
  </si>
  <si>
    <t>Research Assistant - Point 10</t>
  </si>
  <si>
    <t>Research Assistant - Point 11</t>
  </si>
  <si>
    <t>Research Assistant - Point 12</t>
  </si>
  <si>
    <t>Research Assistant - Point 13</t>
  </si>
  <si>
    <t>New Post Doctoral Researcher - Point 1</t>
  </si>
  <si>
    <t>Research Fellow - Point 1</t>
  </si>
  <si>
    <t>Research Fellow - Point 2</t>
  </si>
  <si>
    <t>Research Fellow - Point 3</t>
  </si>
  <si>
    <t>Research Fellow - Point 4</t>
  </si>
  <si>
    <t>Senior Research Fellow - Point 1</t>
  </si>
  <si>
    <t>Senior Research Fellow - Point 2</t>
  </si>
  <si>
    <t>Senior Research Fellow - Point 3</t>
  </si>
  <si>
    <t>Senior Research Fellow - Point 4</t>
  </si>
  <si>
    <t>Permanent</t>
  </si>
  <si>
    <t xml:space="preserve">Non-permanent </t>
  </si>
  <si>
    <t>Selecte type</t>
  </si>
  <si>
    <t>Year 1</t>
  </si>
  <si>
    <t>Year 2</t>
  </si>
  <si>
    <t>Year 3</t>
  </si>
  <si>
    <t>Year 4</t>
  </si>
  <si>
    <t>Not applicable.</t>
  </si>
  <si>
    <t>2021/2022</t>
  </si>
  <si>
    <t>2022/2023</t>
  </si>
  <si>
    <t>2023/2024</t>
  </si>
  <si>
    <t>2024/2025</t>
  </si>
  <si>
    <t xml:space="preserve">Total Grant Contribution </t>
  </si>
  <si>
    <t>Increment multiplier</t>
  </si>
  <si>
    <t>Select % of existing academic commitment replaced</t>
  </si>
  <si>
    <t xml:space="preserve">Select relevent grade </t>
  </si>
  <si>
    <t xml:space="preserve">Select grade and applicable point on scale </t>
  </si>
  <si>
    <t>Select time commitment (minimum for PI is 25%)</t>
  </si>
  <si>
    <t xml:space="preserve">Not applicable </t>
  </si>
  <si>
    <t>2025/2026</t>
  </si>
  <si>
    <t>Books and journals</t>
  </si>
  <si>
    <t>Animal costs</t>
  </si>
  <si>
    <t>Bench fees</t>
  </si>
  <si>
    <t>Laboratory fees</t>
  </si>
  <si>
    <t>Recruitment fees</t>
  </si>
  <si>
    <t>Survey costs</t>
  </si>
  <si>
    <t xml:space="preserve">Focus group participants </t>
  </si>
  <si>
    <t xml:space="preserve">Data management </t>
  </si>
  <si>
    <t>Other - please include description</t>
  </si>
  <si>
    <t xml:space="preserve">Cost </t>
  </si>
  <si>
    <t>Cost 1</t>
  </si>
  <si>
    <t>Cost 2</t>
  </si>
  <si>
    <t>Cost 3</t>
  </si>
  <si>
    <t>Cost 4</t>
  </si>
  <si>
    <t>Cost 5</t>
  </si>
  <si>
    <t>Cost 6</t>
  </si>
  <si>
    <t>Cost 7</t>
  </si>
  <si>
    <t>Cost 8</t>
  </si>
  <si>
    <t>Cost 9</t>
  </si>
  <si>
    <t>Cost 10</t>
  </si>
  <si>
    <t>Cost 11</t>
  </si>
  <si>
    <t>Cost 12</t>
  </si>
  <si>
    <t>Small equipment (less than €1,000 and NOT a computer)</t>
  </si>
  <si>
    <t>Copyediting</t>
  </si>
  <si>
    <t>Indexing</t>
  </si>
  <si>
    <t>Copyright</t>
  </si>
  <si>
    <t>Images</t>
  </si>
  <si>
    <t>Proofreading</t>
  </si>
  <si>
    <t>Open access costs</t>
  </si>
  <si>
    <t>Archival &amp; digitization costs</t>
  </si>
  <si>
    <t>Leaflets</t>
  </si>
  <si>
    <t>Reports</t>
  </si>
  <si>
    <t>Websites</t>
  </si>
  <si>
    <t>Other knowledge exchange activities (include description)</t>
  </si>
  <si>
    <t>Seminar/conference attendance (include description)</t>
  </si>
  <si>
    <t xml:space="preserve">Select one </t>
  </si>
  <si>
    <t>Select one</t>
  </si>
  <si>
    <t>Major scientific equipment (or sets of instruments)</t>
  </si>
  <si>
    <t>Knowledge based resources: collections</t>
  </si>
  <si>
    <t xml:space="preserve">Knowledge based resources: archives </t>
  </si>
  <si>
    <t xml:space="preserve">Knowledge based resources: scientific data </t>
  </si>
  <si>
    <t xml:space="preserve">E-infrasturctures  -data systems </t>
  </si>
  <si>
    <t>E-infrasturctures  -computing systems</t>
  </si>
  <si>
    <t>E-infrasturctures  - communitcation network</t>
  </si>
  <si>
    <t>Other - provide description</t>
  </si>
  <si>
    <t>Access to Irish facilities that are not available in UCD</t>
  </si>
  <si>
    <t>Access to Irish services  that are not available in UCD</t>
  </si>
  <si>
    <t>Access to Irish archives  that are not available in UCD</t>
  </si>
  <si>
    <t>Access to International databases not available in Ireland</t>
  </si>
  <si>
    <t>Access to International facilities/research labs not available in Ireland</t>
  </si>
  <si>
    <t xml:space="preserve">Commissioning of specific experiments in International facility. </t>
  </si>
  <si>
    <t>Commissioning of specific experiment in Irish research facility</t>
  </si>
  <si>
    <t>Yes.</t>
  </si>
  <si>
    <t>No.</t>
  </si>
  <si>
    <t>Computer equipment</t>
  </si>
  <si>
    <t xml:space="preserve">Other equipment </t>
  </si>
  <si>
    <t xml:space="preserve">Detailed description </t>
  </si>
  <si>
    <t>Not applicable</t>
  </si>
  <si>
    <t>Subsistence</t>
  </si>
  <si>
    <t>Research Assistant - MAX POINT ON SCALE DO NOT DELETE</t>
  </si>
  <si>
    <t>New Post Doc - MAX POINT ON SCALE DO NOT DELETE</t>
  </si>
  <si>
    <t>Experienced Post Doc - MAX POINT ON SCALE DO NOT DELETE</t>
  </si>
  <si>
    <t>Research Fellow - Point 4 - MAX POINT ON SCALE DO NOT DELETE</t>
  </si>
  <si>
    <t>Senior Research Fellow - Point 4 - MAX POINT ON SCALE DO NOT DELETE</t>
  </si>
  <si>
    <t xml:space="preserve">Accommodation </t>
  </si>
  <si>
    <t xml:space="preserve"> </t>
  </si>
  <si>
    <t>Months</t>
  </si>
  <si>
    <t>Max months in year</t>
  </si>
  <si>
    <t>Year 5</t>
  </si>
  <si>
    <t xml:space="preserve">Researcher 1 </t>
  </si>
  <si>
    <t>Researcher 2</t>
  </si>
  <si>
    <t>Researcher 3</t>
  </si>
  <si>
    <t>Researcher 4</t>
  </si>
  <si>
    <t xml:space="preserve">Researcher 5 </t>
  </si>
  <si>
    <t xml:space="preserve">SFI - PhD Student Stipend and Registration Fees </t>
  </si>
  <si>
    <t>Note</t>
  </si>
  <si>
    <t xml:space="preserve">PhD stipend and registration fees are for a maximum period of 4 years. </t>
  </si>
  <si>
    <t>https://www.sfi.ie/funding/sfi-policies-and-guidance/budget-finance-related-policies/Grant-Budget-Policy-June-2021.pdf</t>
  </si>
  <si>
    <t xml:space="preserve">If a non-EU PhD student is identifed after award has been granted, the PI may adjust their budget allocation using the flexible budget policy. No additional funding may be requested. </t>
  </si>
  <si>
    <t xml:space="preserve">Some research bodies charged reduced fee in final year (say 50%) - SFI budget capped at this reduced fee. </t>
  </si>
  <si>
    <t xml:space="preserve">Not applicable. </t>
  </si>
  <si>
    <t xml:space="preserve">Named non-EU candiate must be highly-competitive. </t>
  </si>
  <si>
    <t>Please select time commitment</t>
  </si>
  <si>
    <t>New Post Doctoral Researcher(2A) - Point 1</t>
  </si>
  <si>
    <t>New Post Doctoral Researcher(2A) - Point 2</t>
  </si>
  <si>
    <t>New Post Doctoral Researcher(2A) - Point 3</t>
  </si>
  <si>
    <t>New Post Doctoral Researcher(2A) - Point 4</t>
  </si>
  <si>
    <t>New Post Doctoral Researcher(2A) - Point 5</t>
  </si>
  <si>
    <t>New Post Doctoral Researcher(2A) - Point 6</t>
  </si>
  <si>
    <t>Experienced Post Doctoral Researcher(2B)  - Point 1</t>
  </si>
  <si>
    <t>Experienced Post Doctoral Researcher(2B)  - Point 2</t>
  </si>
  <si>
    <t>Experienced Post Doctoral Researcher(2B) - Point 3</t>
  </si>
  <si>
    <t>Experienced Post Doctoral Researcher(2B) - Point 4</t>
  </si>
  <si>
    <t>2026/2027</t>
  </si>
  <si>
    <t>Masters by Research  Student - Stipend</t>
  </si>
  <si>
    <t>Medical Practitioner MD or PhD training</t>
  </si>
  <si>
    <t xml:space="preserve">Where adequate justification is provided, SFI may contribute to MD or PhD training of Medical
Practitioners for a maximum of three years. Such individuals must have a minimum of two years’ relevant
post-registration practice experience and should be employed in practice in Ireland. Stipends will be
provided at Experienced Postdoctoral Researcher Level 2B, point 1(Year 1), point 2 (year 2) and point 3
(year 3) of the SFI Team Member Budget Scale. </t>
  </si>
  <si>
    <t xml:space="preserve">Student 1 - Stipend </t>
  </si>
  <si>
    <t xml:space="preserve">Student 1 - Registration Fees </t>
  </si>
  <si>
    <t xml:space="preserve">Student 2 - Stipend </t>
  </si>
  <si>
    <t xml:space="preserve">Student 2 - Registration Fees </t>
  </si>
  <si>
    <t xml:space="preserve">Student 3 - Stipend </t>
  </si>
  <si>
    <t xml:space="preserve">Student 3 - Registration Fees </t>
  </si>
  <si>
    <t xml:space="preserve">Student 4 - Stipend </t>
  </si>
  <si>
    <t xml:space="preserve">Student 4 - Registration Fees </t>
  </si>
  <si>
    <t xml:space="preserve">Student 5 - Registration Fees </t>
  </si>
  <si>
    <t>Major equipment</t>
  </si>
  <si>
    <t xml:space="preserve">Select one: </t>
  </si>
  <si>
    <t>Computer/laptop (regardless of value)</t>
  </si>
  <si>
    <t>Kowledged-containing resource: Collections</t>
  </si>
  <si>
    <t>Kowledged-containing resource: Archives</t>
  </si>
  <si>
    <t>Kowledged-containing resource: Data banks</t>
  </si>
  <si>
    <t>Kowledged-containing resource: E-Infrastructure</t>
  </si>
  <si>
    <t>Kowledged-containing resource: Test beds</t>
  </si>
  <si>
    <t>Equipment</t>
  </si>
  <si>
    <t>Equipment refurbishment (see Call Doc)</t>
  </si>
  <si>
    <t>Smaller equipment (value more than EUR 2,000)</t>
  </si>
  <si>
    <t>Cost incl VAT</t>
  </si>
  <si>
    <t>Student 1</t>
  </si>
  <si>
    <t>Student 2</t>
  </si>
  <si>
    <t>Student 3</t>
  </si>
  <si>
    <t>Student 4</t>
  </si>
  <si>
    <t>Student 5</t>
  </si>
  <si>
    <t>Summary</t>
  </si>
  <si>
    <t>FTE Equivalent</t>
  </si>
  <si>
    <t>Access costs</t>
  </si>
  <si>
    <t>Other costs</t>
  </si>
  <si>
    <t>Publication costs</t>
  </si>
  <si>
    <t>Recruitment costs</t>
  </si>
  <si>
    <t>Patient engagement costs</t>
  </si>
  <si>
    <t>Equipment maintenance charges</t>
  </si>
  <si>
    <t>Scientific Animal Protection Authorisation fees</t>
  </si>
  <si>
    <t xml:space="preserve">Team member: </t>
  </si>
  <si>
    <t>TABLE 2- Team Member Time Commitment:</t>
  </si>
  <si>
    <t xml:space="preserve">Running Costs </t>
  </si>
  <si>
    <t xml:space="preserve">Guidance: </t>
  </si>
  <si>
    <t>Student - Stipend</t>
  </si>
  <si>
    <t>Registration fees</t>
  </si>
  <si>
    <t>Overheads</t>
  </si>
  <si>
    <t>Co-PI</t>
  </si>
  <si>
    <t>Max point on scale  - do not delete</t>
  </si>
  <si>
    <t>PI</t>
  </si>
  <si>
    <t>Research team</t>
  </si>
  <si>
    <t>Computer Equipment</t>
  </si>
  <si>
    <t>Other Equipment</t>
  </si>
  <si>
    <t>Conference registration fee</t>
  </si>
  <si>
    <t xml:space="preserve">Research travel </t>
  </si>
  <si>
    <t>Conference travel</t>
  </si>
  <si>
    <t>Column1</t>
  </si>
  <si>
    <t>Travel &amp; Dissemination</t>
  </si>
  <si>
    <t>2022/2023 (pre inflation)</t>
  </si>
  <si>
    <t xml:space="preserve">Pre-Award Finance use only: </t>
  </si>
  <si>
    <t>Payroll - key assumptions:</t>
  </si>
  <si>
    <t>95 Executive Assistant_2013 (7911) - Point 13</t>
  </si>
  <si>
    <t>95 Executive Assistant_2013 (7911)- Point 12</t>
  </si>
  <si>
    <t>95 Executive Assistant_2013 (7911)- Point 11</t>
  </si>
  <si>
    <t>95 Executive Assistant_2013 (7911) - Point 10</t>
  </si>
  <si>
    <t xml:space="preserve">95 Executive Assistant_2013 (7911) - Point 9 </t>
  </si>
  <si>
    <t xml:space="preserve">95 Executive Assistant_2013 (7911) - Point 8 </t>
  </si>
  <si>
    <t xml:space="preserve">95 Executive Assistant_2013 (7911) - Point 7 </t>
  </si>
  <si>
    <t xml:space="preserve">95 Executive Assistant_2013 (7911)- Point 6 </t>
  </si>
  <si>
    <t>95 Executive Assistant_2013 (7911) - Point 5</t>
  </si>
  <si>
    <t>95 Executive Assistant_2013 (7911) - Point 4</t>
  </si>
  <si>
    <t>95 Executive Assistant_2013 (7911) - Point 3</t>
  </si>
  <si>
    <t>95 Executive Assistant_2013 (7911)  - Point 2</t>
  </si>
  <si>
    <t>95 Executive Assistant_2013 (7911) - Point 1</t>
  </si>
  <si>
    <t>Executive Assistant_2010 (0022_X) - Point 11</t>
  </si>
  <si>
    <t>Executive Assistant_2010 (0022_X) - Point 10</t>
  </si>
  <si>
    <t xml:space="preserve">Executive Assistant_2010 (0022_X) - Point 9 </t>
  </si>
  <si>
    <t xml:space="preserve">Executive Assistant_2010 (0022_X) - Point 8 </t>
  </si>
  <si>
    <t xml:space="preserve">Executive Assistant_2010 (0022_X) - Point 7 </t>
  </si>
  <si>
    <t xml:space="preserve">Executive Assistant_2010 (0022_X) - Point 6 </t>
  </si>
  <si>
    <t>Executive Assistant_2010 (0022_X) - Point 5</t>
  </si>
  <si>
    <t>Executive Assistant_2010 (0022_X) - Point 4</t>
  </si>
  <si>
    <t>Executive Assistant_2010 (0022_X) - Point 3</t>
  </si>
  <si>
    <t>Executive Assistant_2010 (0022_X)  - Point 2</t>
  </si>
  <si>
    <t>Executive Assistant_2010 (0022_X) - Point 1</t>
  </si>
  <si>
    <t xml:space="preserve">Admin Officer I_2010 (0072_X) - Point 9 </t>
  </si>
  <si>
    <t xml:space="preserve">Admin Officer I_2010 (0072_X) - Point 8 </t>
  </si>
  <si>
    <t xml:space="preserve">Admin Officer I_2010 (0072_X) - Point 7 </t>
  </si>
  <si>
    <t xml:space="preserve">Admin Officer I_2010 (0072_X) - Point 6 </t>
  </si>
  <si>
    <t>Admin Officer I_2010 (0072_X) - Point 5</t>
  </si>
  <si>
    <t>Admin Officer I_2010 (0072_X) - Point 4</t>
  </si>
  <si>
    <t>Admin Officer I_2010 (0072_X) - Point 3</t>
  </si>
  <si>
    <t>Admin Officer I_2010 (0072_X)  - Point 2</t>
  </si>
  <si>
    <t>Admin Officer I_2010 (0072_X) - Point 1</t>
  </si>
  <si>
    <t xml:space="preserve">95 Administrative Officer I_2010 (0172_X) - Point 9 </t>
  </si>
  <si>
    <t xml:space="preserve">95 Administrative Officer I_2010 (0172_X) - Point 8 </t>
  </si>
  <si>
    <t xml:space="preserve">95 Administrative Officer I_2010 (0172_X) - Point 7 </t>
  </si>
  <si>
    <t xml:space="preserve">95 Administrative Officer I_2010 (0172_X) - Point 6 </t>
  </si>
  <si>
    <t>95 Administrative Officer I_2010 (0172_X) - Point 5</t>
  </si>
  <si>
    <t>95 Administrative Officer I_2010 (0172_X) - Point 4</t>
  </si>
  <si>
    <t>95 Administrative Officer I_2010 (0172_X)  - Point 3</t>
  </si>
  <si>
    <t>95 Administrative Officer I_2010 (0172_X)  - Point 2</t>
  </si>
  <si>
    <t>95 Administrative Officer I_2010 (0172_X) - Point 1</t>
  </si>
  <si>
    <t xml:space="preserve">Admin Officer Ii_2010 (0073_X) - Point 7 </t>
  </si>
  <si>
    <t xml:space="preserve">Admin Officer Ii_2010 (0073_X) - Point 6 </t>
  </si>
  <si>
    <t xml:space="preserve">Admin Officer Ii_2010 (0073_X) - Point 5 </t>
  </si>
  <si>
    <t xml:space="preserve">Admin Officer Ii_2010 (0073_X) - Point 4 </t>
  </si>
  <si>
    <t>Admin Officer Ii_2010 (0073_X) - Point 3</t>
  </si>
  <si>
    <t>Admin Officer Ii_2010 (0073_X) - Point 2</t>
  </si>
  <si>
    <t>Admin Officer Ii_2010 (0073_X) - Point 1</t>
  </si>
  <si>
    <t>95 Administrative Officer Ii_2010 (0173_X) - Point 7</t>
  </si>
  <si>
    <t>95 Administrative Officer Ii_2010 (0173_X) - Point 6</t>
  </si>
  <si>
    <t>95 Administrative Officer Ii_2010 (0173_X) - Point 5</t>
  </si>
  <si>
    <t>95 Administrative Officer Ii_2010 (0173_X) - Point 4</t>
  </si>
  <si>
    <t>95 Administrative Officer Ii_2010 (0173_X) - Point 3</t>
  </si>
  <si>
    <t>95 Administrative Officer Ii_2010 (0173_X) - Point 2</t>
  </si>
  <si>
    <t>95 Administrative Officer Ii_2010 (0173_X) - Point 1</t>
  </si>
  <si>
    <t xml:space="preserve"> Adminofficer Ia_2010 (0056_X) - Point 6</t>
  </si>
  <si>
    <t xml:space="preserve"> Adminofficer Ia_2010 (0056_X) - Point 5 </t>
  </si>
  <si>
    <t xml:space="preserve"> Adminofficer Ia_2010 (0056_X) -  Point 4</t>
  </si>
  <si>
    <t xml:space="preserve"> Adminofficer Ia_2010 (0056_X) - Point 3</t>
  </si>
  <si>
    <t xml:space="preserve"> Adminofficer Ia_2010 (0056_X) - Point 2</t>
  </si>
  <si>
    <t xml:space="preserve"> Adminofficer Ia_2010 (0056_X) - Point 1</t>
  </si>
  <si>
    <t>95 Administrative Officer 1a_2013 (2010) (7080) - Point 6</t>
  </si>
  <si>
    <t>95 Administrative Officer 1a_2013 (2010) (7080) - Point 5</t>
  </si>
  <si>
    <t>95 Administrative Officer 1a_2013 (2010) (7080)  - Point 4</t>
  </si>
  <si>
    <t>95 Administrative Officer 1a_2013 (2010) (7080) - Point 3</t>
  </si>
  <si>
    <t>95 Administrative Officer 1a_2013 (2010) (7080) - Point 2</t>
  </si>
  <si>
    <t>95 Administrative Officer 1a_2013 (2010) (7080) - Point 1</t>
  </si>
  <si>
    <t>Average monthly rate ((60 months)</t>
  </si>
  <si>
    <t>Average annual rate (5 years)</t>
  </si>
  <si>
    <t xml:space="preserve">Monthly </t>
  </si>
  <si>
    <t>EFIN REC</t>
  </si>
  <si>
    <t>2027/2028</t>
  </si>
  <si>
    <r>
      <t xml:space="preserve">Rates effective from </t>
    </r>
    <r>
      <rPr>
        <b/>
        <strike/>
        <sz val="11"/>
        <color theme="1"/>
        <rFont val="Calibri"/>
        <family val="2"/>
        <scheme val="minor"/>
      </rPr>
      <t>1 July 2021</t>
    </r>
    <r>
      <rPr>
        <strike/>
        <sz val="11"/>
        <color theme="1"/>
        <rFont val="Calibri"/>
        <family val="2"/>
        <scheme val="minor"/>
      </rPr>
      <t>.</t>
    </r>
  </si>
  <si>
    <t xml:space="preserve">ANNUAL INCREASE </t>
  </si>
  <si>
    <t>College of Arts and Humanities  - EU Fees</t>
  </si>
  <si>
    <t>College of Arts and Humanities  - NON-EU Fees</t>
  </si>
  <si>
    <t>College of Business - EU Fees</t>
  </si>
  <si>
    <t>College of Business - NON-EU Fees</t>
  </si>
  <si>
    <t>College of Engineering and Architecture - EU Fees</t>
  </si>
  <si>
    <t>College of Engineering and Architecture - NON-EU Fees</t>
  </si>
  <si>
    <t>College of Health and Agricultural Sciences - EU Fees</t>
  </si>
  <si>
    <t>College of Health and Agricultural Sciences - NON-EU Fees</t>
  </si>
  <si>
    <t>College of Science - EU Fees</t>
  </si>
  <si>
    <t>College of Science - NON-EU Fees</t>
  </si>
  <si>
    <t>College of Social Sciences and Law - EU Fees</t>
  </si>
  <si>
    <t>College of Social Sciences and Law - NON-EU Fees</t>
  </si>
  <si>
    <t>Select relevant graduate fee</t>
  </si>
  <si>
    <t>increase on stipend</t>
  </si>
  <si>
    <t>Student stipend</t>
  </si>
  <si>
    <t>Select student stipend</t>
  </si>
  <si>
    <t xml:space="preserve">Researcher and student costs </t>
  </si>
  <si>
    <t xml:space="preserve">TABLE 1: Researcher and student costs </t>
  </si>
  <si>
    <t xml:space="preserve">1) Only complete fields in GREEN. </t>
  </si>
  <si>
    <t xml:space="preserve">2) If your project is for a period of less than 5 years OR if your team members are not starting in Year 1 then please complete Table 2 first. </t>
  </si>
  <si>
    <t>Researcher costs (excludes student costs)</t>
  </si>
  <si>
    <t xml:space="preserve">Researcher grade and point on scale </t>
  </si>
  <si>
    <t xml:space="preserve">Student costs </t>
  </si>
  <si>
    <t>Student stipend and graduate fee</t>
  </si>
  <si>
    <t>Academic salary costs only (e.g, PI time and/or buy-out)</t>
  </si>
  <si>
    <t xml:space="preserve">TABLE 1: Academic salary costs only </t>
  </si>
  <si>
    <t xml:space="preserve">Principal investigator </t>
  </si>
  <si>
    <t>Team member 2</t>
  </si>
  <si>
    <t>Team member 3</t>
  </si>
  <si>
    <t>Team member 4</t>
  </si>
  <si>
    <t>Team member 5</t>
  </si>
  <si>
    <t>Select academic grade and point on scale</t>
  </si>
  <si>
    <t xml:space="preserve">Academic salary costs only </t>
  </si>
  <si>
    <t xml:space="preserve">Academic grade and point on scale </t>
  </si>
  <si>
    <t>Total academic salary costs</t>
  </si>
  <si>
    <t xml:space="preserve">TABLE 1: Admin salary costs only </t>
  </si>
  <si>
    <t xml:space="preserve">Admin salary costs only </t>
  </si>
  <si>
    <t xml:space="preserve">Admin grade and point on scale </t>
  </si>
  <si>
    <t>Total admin salary costs</t>
  </si>
  <si>
    <t>Admin member 1</t>
  </si>
  <si>
    <t>Admin member 2</t>
  </si>
  <si>
    <t>Admin member 3</t>
  </si>
  <si>
    <t>Admin member 4</t>
  </si>
  <si>
    <t>Admin member 5</t>
  </si>
  <si>
    <t>Salary costs with no UCD salary scale (e.g, Clinical Nurse Specialist on HSE scale)</t>
  </si>
  <si>
    <t xml:space="preserve">Salary costs with no UCD salary scale  </t>
  </si>
  <si>
    <t>Off-scale member 1</t>
  </si>
  <si>
    <t>Off-scale member 2</t>
  </si>
  <si>
    <t>Off-scale member 3</t>
  </si>
  <si>
    <t>Off-scale member 4</t>
  </si>
  <si>
    <t>Off-scale member 5</t>
  </si>
  <si>
    <t>Enter the scale and starting point of scale here and enter all points on scale between starting point and ending point in Columns C-G.</t>
  </si>
  <si>
    <t>Base salary - starting point.</t>
  </si>
  <si>
    <t>Next point on scale.</t>
  </si>
  <si>
    <t>TABLE 1A: Salary costs with no UCD salary scale  - relevant scale</t>
  </si>
  <si>
    <t>TABLE 1B: Salary costs with no UCD salary scale   - calculation incl PRSI, Pension, Inflation</t>
  </si>
  <si>
    <t>Step 1: Payroll costs</t>
  </si>
  <si>
    <t>Step 1A</t>
  </si>
  <si>
    <t>Step 1B</t>
  </si>
  <si>
    <t>Admin salary costs only</t>
  </si>
  <si>
    <t xml:space="preserve">This is for research assistants, post-doc, fellow and PhD/Masters studenships. </t>
  </si>
  <si>
    <t xml:space="preserve">This is for salary costs that are no linked to a UCD salary scale. </t>
  </si>
  <si>
    <t>Total salary costs with no UCD salary scale</t>
  </si>
  <si>
    <t>Total equipment costs</t>
  </si>
  <si>
    <t>Overhead</t>
  </si>
  <si>
    <t xml:space="preserve">What is the nature of your research? </t>
  </si>
  <si>
    <t>Select relevant answer</t>
  </si>
  <si>
    <t>Desk research</t>
  </si>
  <si>
    <t>Lab research</t>
  </si>
  <si>
    <t>Contract research</t>
  </si>
  <si>
    <t>Expected overhead rate:</t>
  </si>
  <si>
    <t>Test</t>
  </si>
  <si>
    <t>test</t>
  </si>
  <si>
    <t>25%</t>
  </si>
  <si>
    <t xml:space="preserve">Mandatory question: </t>
  </si>
  <si>
    <t>Justification text</t>
  </si>
  <si>
    <t xml:space="preserve">What currency are you submiting you budget in? </t>
  </si>
  <si>
    <t>USD</t>
  </si>
  <si>
    <t>GBP</t>
  </si>
  <si>
    <t>Select one or manually enter</t>
  </si>
  <si>
    <t>Mandatory questions*:</t>
  </si>
  <si>
    <t>Please enter the relevant FX rate below:</t>
  </si>
  <si>
    <t>Select the relevant team member</t>
  </si>
  <si>
    <t>Select expense category</t>
  </si>
  <si>
    <t>Accommodation</t>
  </si>
  <si>
    <t>Research travel</t>
  </si>
  <si>
    <t>Academic</t>
  </si>
  <si>
    <t>Researcher</t>
  </si>
  <si>
    <t>Staff Type</t>
  </si>
  <si>
    <t>EFIN CODES</t>
  </si>
  <si>
    <t>PI Time</t>
  </si>
  <si>
    <t>Salaries &amp; Wages</t>
  </si>
  <si>
    <t>Pension</t>
  </si>
  <si>
    <t>Scholarships</t>
  </si>
  <si>
    <t>Student Fees</t>
  </si>
  <si>
    <t>Travel</t>
  </si>
  <si>
    <t>Lab Supplies</t>
  </si>
  <si>
    <t>Office Supplies</t>
  </si>
  <si>
    <t>External Assistance</t>
  </si>
  <si>
    <t xml:space="preserve"> In-kind Contribution</t>
  </si>
  <si>
    <t>92998 - Other Costs</t>
  </si>
  <si>
    <t>Transfer to Partner</t>
  </si>
  <si>
    <t>SENSE CHECK</t>
  </si>
  <si>
    <t xml:space="preserve">Total per EFIN </t>
  </si>
  <si>
    <t>Total per budget summary</t>
  </si>
  <si>
    <t>Difference</t>
  </si>
  <si>
    <t xml:space="preserve">EFIN RECONCILIATION - INTERNAL USE ONLY </t>
  </si>
  <si>
    <t>Total Salary Cost</t>
  </si>
  <si>
    <t>Base salary</t>
  </si>
  <si>
    <t xml:space="preserve">Pension </t>
  </si>
  <si>
    <t xml:space="preserve">Student Fees </t>
  </si>
  <si>
    <t xml:space="preserve">Stipend </t>
  </si>
  <si>
    <t>Principal Investigator</t>
  </si>
  <si>
    <t xml:space="preserve">Administration </t>
  </si>
  <si>
    <t>Administration</t>
  </si>
  <si>
    <t>EFIN Rec</t>
  </si>
  <si>
    <t>YEAR 1</t>
  </si>
  <si>
    <t>Student Costs</t>
  </si>
  <si>
    <t>Fee</t>
  </si>
  <si>
    <t>YEAR 2</t>
  </si>
  <si>
    <t>YEAR 3</t>
  </si>
  <si>
    <t>YEAR 4</t>
  </si>
  <si>
    <t>YEAR 5</t>
  </si>
  <si>
    <t>Check totals</t>
  </si>
  <si>
    <t>Other Costs</t>
  </si>
  <si>
    <t>Check totals tab 3</t>
  </si>
  <si>
    <t>Other Salaries</t>
  </si>
  <si>
    <t>Check totals Tab 4</t>
  </si>
  <si>
    <t>Check Totals</t>
  </si>
  <si>
    <t>Subcontracting Costs</t>
  </si>
  <si>
    <t>Employers PRSI</t>
  </si>
  <si>
    <t>RFS Description</t>
  </si>
  <si>
    <t>Permanent Staff Time (PI-Time)</t>
  </si>
  <si>
    <t>Employee's Gross Salary</t>
  </si>
  <si>
    <t>Employer's PRSI</t>
  </si>
  <si>
    <t>Employer's Pension Contribution</t>
  </si>
  <si>
    <t>Student Stipend</t>
  </si>
  <si>
    <t>Student Tuition Fees</t>
  </si>
  <si>
    <t>Travel &amp; Subsistence</t>
  </si>
  <si>
    <t>Laboratory Supplies</t>
  </si>
  <si>
    <t>External Assistance (Consultancy &amp; Subcontracting)</t>
  </si>
  <si>
    <t>In-Kind Contribution</t>
  </si>
  <si>
    <t>Other Non-pay Costs</t>
  </si>
  <si>
    <t>UCD Indirect Costs (Overheads)</t>
  </si>
  <si>
    <t>Total Transfer to External Partners</t>
  </si>
  <si>
    <t>EFIN Description</t>
  </si>
  <si>
    <t>Efin Changes - 8/3/2023</t>
  </si>
  <si>
    <t>Employers PRSI separated out</t>
  </si>
  <si>
    <t>Scholarship code Corrected</t>
  </si>
  <si>
    <t>RFS &amp; Efin Descriptions Included</t>
  </si>
  <si>
    <t>IUA Researcher Salary Rates Used 1/10/2023</t>
  </si>
  <si>
    <r>
      <t xml:space="preserve">Rates effective from </t>
    </r>
    <r>
      <rPr>
        <b/>
        <sz val="11"/>
        <color theme="1"/>
        <rFont val="Calibri"/>
        <family val="2"/>
        <scheme val="minor"/>
      </rPr>
      <t>1 March 2023</t>
    </r>
  </si>
  <si>
    <t>2024/25</t>
  </si>
  <si>
    <t>2025/26</t>
  </si>
  <si>
    <t>2026/27</t>
  </si>
  <si>
    <t>2027/28</t>
  </si>
  <si>
    <t>UCD Salary Scale effective 01.03.2023</t>
  </si>
  <si>
    <t>Rates effective from 01.03.2023</t>
  </si>
  <si>
    <t xml:space="preserve">This base rate is increased by 3% in all subsequent years. </t>
  </si>
  <si>
    <t>2028/2029</t>
  </si>
  <si>
    <r>
      <t xml:space="preserve">Rates effective from </t>
    </r>
    <r>
      <rPr>
        <b/>
        <sz val="11"/>
        <color theme="1"/>
        <rFont val="Calibri"/>
        <family val="2"/>
        <scheme val="minor"/>
      </rPr>
      <t>1 October 2023</t>
    </r>
  </si>
  <si>
    <t>Select admin grade and point on scale</t>
  </si>
  <si>
    <t>Researcher 6</t>
  </si>
  <si>
    <t>Researcher 7</t>
  </si>
  <si>
    <t>Researcher 8</t>
  </si>
  <si>
    <t>Researcher 9</t>
  </si>
  <si>
    <t>Researcher 10</t>
  </si>
  <si>
    <t>HRB - 30% of Total modified costs</t>
  </si>
  <si>
    <t>Employer PRSI at 11.05% of gross salary cost.</t>
  </si>
  <si>
    <t>Employer pension contribution at 20% of gross salary cost.</t>
  </si>
  <si>
    <t xml:space="preserve">Subtotal </t>
  </si>
  <si>
    <t>Employer pension contribution at 10% of gross salary cost.</t>
  </si>
  <si>
    <t>PRSI</t>
  </si>
  <si>
    <t>PENSION</t>
  </si>
  <si>
    <t xml:space="preserve">Salary </t>
  </si>
  <si>
    <t>2. Running costs</t>
  </si>
  <si>
    <t xml:space="preserve">Instruction: Complete fields marked in GREEN ONLY. </t>
  </si>
  <si>
    <t>Running costs:</t>
  </si>
  <si>
    <t xml:space="preserve">Cost type </t>
  </si>
  <si>
    <t xml:space="preserve">Total running costs. </t>
  </si>
  <si>
    <t xml:space="preserve">Equipment costs </t>
  </si>
  <si>
    <t xml:space="preserve">Equipment category </t>
  </si>
  <si>
    <t xml:space="preserve"> FAIR data management costs </t>
  </si>
  <si>
    <t xml:space="preserve">Total fair data management costs </t>
  </si>
  <si>
    <t>Dissemination costs</t>
  </si>
  <si>
    <t>Total dissemination costs.</t>
  </si>
  <si>
    <t xml:space="preserve">Materials and consumables </t>
  </si>
  <si>
    <t>Travel for participants</t>
  </si>
  <si>
    <t>PPI costs (including compensating PPI contributors)</t>
  </si>
  <si>
    <t>Access to necessary special facilities (Infrastructure Agreement Form required).</t>
  </si>
  <si>
    <t xml:space="preserve">Other costs </t>
  </si>
  <si>
    <t>Equipment (total of all equipment not expected to exceed EUR10,000 incl VAT).</t>
  </si>
  <si>
    <t xml:space="preserve">Staff time </t>
  </si>
  <si>
    <t xml:space="preserve">Storage and computation </t>
  </si>
  <si>
    <t xml:space="preserve">Data access </t>
  </si>
  <si>
    <t>Deposition and reuse</t>
  </si>
  <si>
    <t>Other</t>
  </si>
  <si>
    <t>Publication</t>
  </si>
  <si>
    <t>Conference</t>
  </si>
  <si>
    <t>Other activities</t>
  </si>
  <si>
    <t xml:space="preserve">Total </t>
  </si>
  <si>
    <t>TOTAL SALARY COSTS - (Including EPRSI &amp; Pension)</t>
  </si>
  <si>
    <t>TOTAL STIPENDS</t>
  </si>
  <si>
    <t>TOTAL REGISTRATION FEES</t>
  </si>
  <si>
    <t>1 - Salaries</t>
  </si>
  <si>
    <t>3 - Student Fees</t>
  </si>
  <si>
    <t>2 - Student Stipend</t>
  </si>
  <si>
    <t>4. Running costs</t>
  </si>
  <si>
    <t>5. PPI Costs</t>
  </si>
  <si>
    <t xml:space="preserve">6. Equipment </t>
  </si>
  <si>
    <t>7. FAIR Data Management Costs</t>
  </si>
  <si>
    <t>8. Dissemination Costs</t>
  </si>
  <si>
    <t>Note, See separate UCD PPI Budget Calculator and explanatory video at:</t>
  </si>
  <si>
    <t>https://www.ucd.ie/ppi/plan/budgetingforppi/</t>
  </si>
  <si>
    <t>5. PPI costs</t>
  </si>
  <si>
    <t>Detailed description (Optional)</t>
  </si>
  <si>
    <t xml:space="preserve">This template includes 2 types of payroll costs: </t>
  </si>
  <si>
    <t>6. Equipment costs</t>
  </si>
  <si>
    <t xml:space="preserve">7. FAIR data management costs </t>
  </si>
  <si>
    <t>8. Dissemination costs</t>
  </si>
  <si>
    <t>October 2023 Salary Scales</t>
  </si>
  <si>
    <t>Total Direct Costs*</t>
  </si>
  <si>
    <r>
      <t xml:space="preserve">*From HRB ILP call doc </t>
    </r>
    <r>
      <rPr>
        <i/>
        <sz val="11"/>
        <color theme="1"/>
        <rFont val="Calibri"/>
        <family val="2"/>
        <scheme val="minor"/>
      </rPr>
      <t>"The overheads contribution will be added by HRB staff during contracting stage"</t>
    </r>
  </si>
  <si>
    <t xml:space="preserve">     NB - €330k total direct costs is the maximum allowed per the ILP call</t>
  </si>
  <si>
    <t>https://www.sfi.ie/funding/sfi-policies-and-guidance/budget-finance-related-policies/SFI-Grant-Budget-Policy-March-2023-(5).pdf</t>
  </si>
  <si>
    <t xml:space="preserve">Masters/PhD Student - Registration fees </t>
  </si>
  <si>
    <t>2024-25</t>
  </si>
  <si>
    <t>2025-26</t>
  </si>
  <si>
    <t>2026-27</t>
  </si>
  <si>
    <t>2027-28</t>
  </si>
  <si>
    <t>2028-29</t>
  </si>
  <si>
    <t xml:space="preserve">Student 5 - Stipend </t>
  </si>
  <si>
    <t>Registration Fees</t>
  </si>
  <si>
    <t>Select Registration Fees</t>
  </si>
  <si>
    <t>Version 08.09.2023</t>
  </si>
  <si>
    <t xml:space="preserve">HRB- ILP TEMPLATE 08.09.2023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</si>
</sst>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
    <numFmt numFmtId="166" formatCode="_-* #,##0_-;\-* #,##0_-;_-* &quot;-&quot;??_-;_-@"/>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sz val="9"/>
      <color indexed="81"/>
      <name val="Tahoma"/>
      <family val="2"/>
    </font>
    <font>
      <b/>
      <sz val="9"/>
      <color indexed="81"/>
      <name val="Tahoma"/>
      <family val="2"/>
    </font>
    <font>
      <b/>
      <sz val="14"/>
      <color theme="1"/>
      <name val="Calibri"/>
      <family val="2"/>
      <scheme val="minor"/>
    </font>
    <font>
      <i/>
      <sz val="11"/>
      <color theme="1"/>
      <name val="Calibri"/>
      <family val="2"/>
      <scheme val="minor"/>
    </font>
    <font>
      <b/>
      <i/>
      <sz val="11"/>
      <color theme="1"/>
      <name val="Calibri"/>
      <family val="2"/>
      <scheme val="minor"/>
    </font>
    <font>
      <sz val="11"/>
      <color theme="0" tint="-0.34998626667073579"/>
      <name val="Calibri"/>
      <family val="2"/>
      <scheme val="minor"/>
    </font>
    <font>
      <sz val="11"/>
      <color theme="4"/>
      <name val="Calibri"/>
      <family val="2"/>
      <scheme val="minor"/>
    </font>
    <font>
      <b/>
      <sz val="11"/>
      <name val="Calibri"/>
      <family val="2"/>
      <scheme val="minor"/>
    </font>
    <font>
      <b/>
      <sz val="11"/>
      <color theme="0" tint="-0.14999847407452621"/>
      <name val="Calibri"/>
      <family val="2"/>
      <scheme val="minor"/>
    </font>
    <font>
      <b/>
      <sz val="14"/>
      <color rgb="FFFF0000"/>
      <name val="Calibri"/>
      <family val="2"/>
      <scheme val="minor"/>
    </font>
    <font>
      <sz val="11"/>
      <name val="Calibri"/>
      <family val="2"/>
      <scheme val="minor"/>
    </font>
    <font>
      <b/>
      <sz val="14"/>
      <color rgb="FF00B050"/>
      <name val="Calibri"/>
      <family val="2"/>
      <scheme val="minor"/>
    </font>
    <font>
      <u/>
      <sz val="11"/>
      <color theme="10"/>
      <name val="Calibri"/>
      <family val="2"/>
      <scheme val="minor"/>
    </font>
    <font>
      <sz val="8"/>
      <name val="Calibri"/>
      <family val="2"/>
      <scheme val="minor"/>
    </font>
    <font>
      <i/>
      <sz val="11"/>
      <color theme="4"/>
      <name val="Calibri"/>
      <family val="2"/>
      <scheme val="minor"/>
    </font>
    <font>
      <sz val="11"/>
      <color theme="0" tint="-0.14999847407452621"/>
      <name val="Calibri"/>
      <family val="2"/>
      <scheme val="minor"/>
    </font>
    <font>
      <b/>
      <sz val="14"/>
      <name val="Calibri"/>
      <family val="2"/>
      <scheme val="minor"/>
    </font>
    <font>
      <sz val="11"/>
      <color theme="3" tint="0.39997558519241921"/>
      <name val="Calibri"/>
      <family val="2"/>
      <scheme val="minor"/>
    </font>
    <font>
      <b/>
      <strike/>
      <sz val="11"/>
      <color theme="1"/>
      <name val="Calibri"/>
      <family val="2"/>
      <scheme val="minor"/>
    </font>
    <font>
      <strike/>
      <sz val="11"/>
      <color theme="1"/>
      <name val="Calibri"/>
      <family val="2"/>
      <scheme val="minor"/>
    </font>
    <font>
      <b/>
      <strike/>
      <sz val="11"/>
      <color rgb="FF0070C0"/>
      <name val="Calibri"/>
      <family val="2"/>
      <scheme val="minor"/>
    </font>
    <font>
      <strike/>
      <sz val="11"/>
      <color rgb="FF0070C0"/>
      <name val="Calibri"/>
      <family val="2"/>
      <scheme val="minor"/>
    </font>
    <font>
      <b/>
      <strike/>
      <sz val="11"/>
      <color rgb="FFFF0000"/>
      <name val="Calibri"/>
      <family val="2"/>
      <scheme val="minor"/>
    </font>
    <font>
      <strike/>
      <sz val="11"/>
      <color theme="0" tint="-0.34998626667073579"/>
      <name val="Calibri"/>
      <family val="2"/>
      <scheme val="minor"/>
    </font>
    <font>
      <i/>
      <strike/>
      <sz val="11"/>
      <color theme="1"/>
      <name val="Calibri"/>
      <family val="2"/>
      <scheme val="minor"/>
    </font>
    <font>
      <b/>
      <sz val="16"/>
      <color theme="1"/>
      <name val="Calibri"/>
      <family val="2"/>
      <scheme val="minor"/>
    </font>
    <font>
      <sz val="16"/>
      <color theme="1"/>
      <name val="Calibri"/>
      <family val="2"/>
      <scheme val="minor"/>
    </font>
    <font>
      <b/>
      <sz val="16"/>
      <color rgb="FFFF0000"/>
      <name val="Calibri"/>
      <family val="2"/>
      <scheme val="minor"/>
    </font>
    <font>
      <sz val="11"/>
      <color theme="0"/>
      <name val="Calibri"/>
      <family val="2"/>
      <scheme val="minor"/>
    </font>
    <font>
      <sz val="11"/>
      <color rgb="FF401AE0"/>
      <name val="Calibri"/>
      <family val="2"/>
      <scheme val="minor"/>
    </font>
    <font>
      <u/>
      <sz val="11"/>
      <color rgb="FF401AE0"/>
      <name val="Calibri"/>
      <family val="2"/>
      <scheme val="minor"/>
    </font>
    <font>
      <u/>
      <sz val="11"/>
      <color theme="1"/>
      <name val="Calibri"/>
      <family val="2"/>
      <scheme val="minor"/>
    </font>
    <font>
      <b/>
      <sz val="18"/>
      <color theme="1"/>
      <name val="Calibri"/>
      <family val="2"/>
      <scheme val="minor"/>
    </font>
    <font>
      <sz val="11"/>
      <color rgb="FF000000"/>
      <name val="Calibri"/>
      <family val="2"/>
      <scheme val="minor"/>
    </font>
    <font>
      <sz val="13"/>
      <color theme="1"/>
      <name val="Calibri"/>
      <family val="2"/>
      <scheme val="minor"/>
    </font>
    <font>
      <u/>
      <sz val="12"/>
      <color theme="10"/>
      <name val="Calibri"/>
      <family val="2"/>
      <scheme val="minor"/>
    </font>
    <font>
      <b/>
      <sz val="14"/>
      <color rgb="FF000000"/>
      <name val="Calibri"/>
      <family val="2"/>
      <scheme val="minor"/>
    </font>
    <font>
      <sz val="14"/>
      <color rgb="FF000000"/>
      <name val="Calibri"/>
      <family val="2"/>
      <scheme val="minor"/>
    </font>
    <font>
      <sz val="11"/>
      <color theme="5" tint="-0.249977111117893"/>
      <name val="Calibri"/>
      <family val="2"/>
      <scheme val="minor"/>
    </font>
    <font>
      <b/>
      <sz val="11"/>
      <color theme="5" tint="-0.249977111117893"/>
      <name val="Calibri"/>
      <family val="2"/>
      <scheme val="minor"/>
    </font>
    <font>
      <i/>
      <sz val="11"/>
      <color theme="5" tint="-0.249977111117893"/>
      <name val="Calibri"/>
      <family val="2"/>
      <scheme val="minor"/>
    </font>
    <font>
      <b/>
      <sz val="11"/>
      <color theme="1"/>
      <name val="Calibri"/>
    </font>
    <font>
      <sz val="11"/>
      <color theme="1"/>
      <name val="Calibri"/>
      <scheme val="minor"/>
    </font>
    <font>
      <sz val="11"/>
      <color theme="1"/>
      <name val="Calibri"/>
    </font>
    <font>
      <b/>
      <sz val="11"/>
      <color theme="1"/>
      <name val="Calibri"/>
      <family val="2"/>
    </font>
    <font>
      <b/>
      <i/>
      <sz val="11"/>
      <color rgb="FF0070C0"/>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theme="4" tint="0.79998168889431442"/>
      </patternFill>
    </fill>
    <fill>
      <patternFill patternType="solid">
        <fgColor theme="1"/>
        <bgColor indexed="64"/>
      </patternFill>
    </fill>
    <fill>
      <patternFill patternType="solid">
        <fgColor theme="0"/>
        <bgColor theme="4" tint="0.79998168889431442"/>
      </patternFill>
    </fill>
    <fill>
      <patternFill patternType="solid">
        <fgColor rgb="FFFFC000"/>
        <bgColor indexed="64"/>
      </patternFill>
    </fill>
    <fill>
      <patternFill patternType="solid">
        <fgColor theme="9" tint="0.59999389629810485"/>
        <bgColor indexed="64"/>
      </patternFill>
    </fill>
    <fill>
      <patternFill patternType="solid">
        <fgColor rgb="FFEAF7A9"/>
        <bgColor indexed="64"/>
      </patternFill>
    </fill>
    <fill>
      <patternFill patternType="solid">
        <fgColor theme="7" tint="0.39997558519241921"/>
        <bgColor indexed="64"/>
      </patternFill>
    </fill>
    <fill>
      <patternFill patternType="solid">
        <fgColor rgb="FFF2F2F2"/>
        <bgColor rgb="FFF2F2F2"/>
      </patternFill>
    </fill>
    <fill>
      <patternFill patternType="solid">
        <fgColor theme="9"/>
        <bgColor indexed="64"/>
      </patternFill>
    </fill>
    <fill>
      <patternFill patternType="solid">
        <fgColor rgb="FFFF0000"/>
        <bgColor rgb="FFFF0000"/>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
      <left/>
      <right/>
      <top/>
      <bottom style="thin">
        <color indexed="64"/>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05">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9" fontId="0" fillId="0" borderId="0" xfId="0" applyNumberFormat="1"/>
    <xf numFmtId="38" fontId="0" fillId="0" borderId="0" xfId="0" applyNumberFormat="1"/>
    <xf numFmtId="0" fontId="3" fillId="0" borderId="2" xfId="0" applyFont="1" applyBorder="1" applyAlignment="1">
      <alignment horizontal="center"/>
    </xf>
    <xf numFmtId="38" fontId="0" fillId="0" borderId="0" xfId="0" applyNumberFormat="1" applyAlignment="1">
      <alignment horizontal="center"/>
    </xf>
    <xf numFmtId="38" fontId="0" fillId="0" borderId="5" xfId="0" applyNumberFormat="1" applyBorder="1" applyAlignment="1">
      <alignment horizontal="center"/>
    </xf>
    <xf numFmtId="0" fontId="0" fillId="0" borderId="7" xfId="0" applyBorder="1" applyAlignment="1">
      <alignment horizontal="center"/>
    </xf>
    <xf numFmtId="38" fontId="0" fillId="0" borderId="7" xfId="0" applyNumberFormat="1" applyBorder="1" applyAlignment="1">
      <alignment horizontal="center"/>
    </xf>
    <xf numFmtId="38" fontId="0" fillId="0" borderId="8" xfId="0" applyNumberFormat="1" applyBorder="1" applyAlignment="1">
      <alignment horizontal="center"/>
    </xf>
    <xf numFmtId="38" fontId="0" fillId="0" borderId="0" xfId="1" applyNumberFormat="1" applyFont="1" applyBorder="1" applyAlignment="1">
      <alignment horizontal="center"/>
    </xf>
    <xf numFmtId="38" fontId="0" fillId="0" borderId="5" xfId="1" applyNumberFormat="1" applyFont="1" applyBorder="1" applyAlignment="1">
      <alignment horizontal="center"/>
    </xf>
    <xf numFmtId="38" fontId="0" fillId="0" borderId="7" xfId="1" applyNumberFormat="1" applyFont="1" applyBorder="1" applyAlignment="1">
      <alignment horizontal="center"/>
    </xf>
    <xf numFmtId="38" fontId="0" fillId="0" borderId="8" xfId="1" applyNumberFormat="1" applyFont="1" applyBorder="1" applyAlignment="1">
      <alignment horizontal="center"/>
    </xf>
    <xf numFmtId="0" fontId="5" fillId="2" borderId="1" xfId="0" applyFont="1" applyFill="1" applyBorder="1"/>
    <xf numFmtId="10" fontId="6" fillId="2" borderId="3" xfId="0" applyNumberFormat="1" applyFont="1" applyFill="1" applyBorder="1"/>
    <xf numFmtId="0" fontId="5" fillId="2" borderId="6" xfId="0" applyFont="1" applyFill="1" applyBorder="1"/>
    <xf numFmtId="0" fontId="4" fillId="0" borderId="0" xfId="0" applyFont="1" applyAlignment="1">
      <alignment horizontal="left"/>
    </xf>
    <xf numFmtId="0" fontId="3" fillId="2" borderId="1" xfId="0" applyFont="1" applyFill="1" applyBorder="1" applyAlignment="1">
      <alignment vertical="center"/>
    </xf>
    <xf numFmtId="0" fontId="3" fillId="0" borderId="0" xfId="0" applyFont="1" applyAlignment="1">
      <alignment horizontal="center" wrapText="1"/>
    </xf>
    <xf numFmtId="0" fontId="5" fillId="2" borderId="4" xfId="0" applyFont="1" applyFill="1" applyBorder="1"/>
    <xf numFmtId="10" fontId="6" fillId="2" borderId="5" xfId="0" applyNumberFormat="1" applyFont="1" applyFill="1" applyBorder="1"/>
    <xf numFmtId="0" fontId="10" fillId="2" borderId="4" xfId="0" applyFont="1" applyFill="1" applyBorder="1" applyAlignment="1">
      <alignment vertical="center"/>
    </xf>
    <xf numFmtId="0" fontId="10" fillId="2" borderId="6" xfId="0" applyFont="1" applyFill="1" applyBorder="1" applyAlignment="1">
      <alignment vertical="center"/>
    </xf>
    <xf numFmtId="0" fontId="10" fillId="2" borderId="1" xfId="0" applyFont="1" applyFill="1" applyBorder="1" applyAlignment="1">
      <alignment vertical="center"/>
    </xf>
    <xf numFmtId="0" fontId="0" fillId="0" borderId="2" xfId="0" applyBorder="1" applyAlignment="1">
      <alignment horizontal="center"/>
    </xf>
    <xf numFmtId="38" fontId="0" fillId="0" borderId="2" xfId="0" applyNumberFormat="1" applyBorder="1" applyAlignment="1">
      <alignment horizontal="center"/>
    </xf>
    <xf numFmtId="38" fontId="0" fillId="0" borderId="3" xfId="0" applyNumberFormat="1" applyBorder="1" applyAlignment="1">
      <alignment horizontal="center"/>
    </xf>
    <xf numFmtId="9" fontId="0" fillId="4" borderId="12" xfId="0" applyNumberFormat="1" applyFill="1" applyBorder="1"/>
    <xf numFmtId="9" fontId="6" fillId="2" borderId="5" xfId="0" applyNumberFormat="1" applyFont="1" applyFill="1" applyBorder="1"/>
    <xf numFmtId="0" fontId="3" fillId="0" borderId="4" xfId="0" applyFont="1" applyBorder="1" applyAlignment="1">
      <alignment horizontal="center" wrapText="1"/>
    </xf>
    <xf numFmtId="0" fontId="3" fillId="0" borderId="5" xfId="0" applyFont="1" applyBorder="1" applyAlignment="1">
      <alignment horizontal="center" wrapText="1"/>
    </xf>
    <xf numFmtId="38" fontId="0" fillId="0" borderId="4" xfId="0" applyNumberFormat="1" applyBorder="1" applyAlignment="1">
      <alignment horizontal="center"/>
    </xf>
    <xf numFmtId="38" fontId="0" fillId="0" borderId="6" xfId="0" applyNumberFormat="1" applyBorder="1" applyAlignment="1">
      <alignment horizontal="center"/>
    </xf>
    <xf numFmtId="2" fontId="6" fillId="2" borderId="8" xfId="0" applyNumberFormat="1" applyFont="1" applyFill="1" applyBorder="1"/>
    <xf numFmtId="38" fontId="0" fillId="0" borderId="1" xfId="0" applyNumberFormat="1" applyBorder="1" applyAlignment="1">
      <alignment horizontal="center"/>
    </xf>
    <xf numFmtId="0" fontId="13" fillId="2" borderId="8" xfId="0" applyFont="1" applyFill="1" applyBorder="1"/>
    <xf numFmtId="38" fontId="0" fillId="0" borderId="4" xfId="1" applyNumberFormat="1" applyFont="1" applyBorder="1" applyAlignment="1">
      <alignment horizontal="center"/>
    </xf>
    <xf numFmtId="38" fontId="0" fillId="0" borderId="6" xfId="1" applyNumberFormat="1" applyFont="1" applyBorder="1" applyAlignment="1">
      <alignment horizontal="center"/>
    </xf>
    <xf numFmtId="38" fontId="0" fillId="0" borderId="2" xfId="1" applyNumberFormat="1" applyFont="1" applyBorder="1" applyAlignment="1">
      <alignment horizontal="center"/>
    </xf>
    <xf numFmtId="38" fontId="0" fillId="0" borderId="3" xfId="1" applyNumberFormat="1" applyFont="1" applyBorder="1" applyAlignment="1">
      <alignment horizontal="center"/>
    </xf>
    <xf numFmtId="0" fontId="15" fillId="0" borderId="0" xfId="0" applyFont="1" applyAlignment="1">
      <alignment horizontal="left"/>
    </xf>
    <xf numFmtId="0" fontId="15" fillId="0" borderId="0" xfId="0" applyFont="1"/>
    <xf numFmtId="0" fontId="3" fillId="0" borderId="13" xfId="0" applyFont="1" applyBorder="1"/>
    <xf numFmtId="0" fontId="3" fillId="0" borderId="13" xfId="0" applyFont="1" applyBorder="1" applyAlignment="1">
      <alignment horizontal="center"/>
    </xf>
    <xf numFmtId="0" fontId="2" fillId="3" borderId="14" xfId="0" applyFont="1" applyFill="1" applyBorder="1"/>
    <xf numFmtId="0" fontId="0" fillId="4" borderId="16" xfId="0" applyFill="1" applyBorder="1"/>
    <xf numFmtId="0" fontId="0" fillId="0" borderId="16" xfId="0" applyBorder="1"/>
    <xf numFmtId="0" fontId="3" fillId="0" borderId="9" xfId="0" applyFont="1" applyBorder="1"/>
    <xf numFmtId="0" fontId="11" fillId="0" borderId="0" xfId="0" applyFont="1"/>
    <xf numFmtId="0" fontId="10" fillId="0" borderId="0" xfId="0" applyFont="1"/>
    <xf numFmtId="0" fontId="3" fillId="0" borderId="7" xfId="0" applyFont="1" applyBorder="1"/>
    <xf numFmtId="164" fontId="0" fillId="6" borderId="15" xfId="1" applyNumberFormat="1" applyFont="1" applyFill="1" applyBorder="1"/>
    <xf numFmtId="0" fontId="0" fillId="0" borderId="4" xfId="0" applyBorder="1"/>
    <xf numFmtId="164" fontId="0" fillId="6" borderId="17" xfId="0" applyNumberFormat="1" applyFill="1" applyBorder="1"/>
    <xf numFmtId="164" fontId="0" fillId="6" borderId="19" xfId="0" applyNumberFormat="1" applyFill="1" applyBorder="1"/>
    <xf numFmtId="0" fontId="3" fillId="6" borderId="9" xfId="0" applyFont="1" applyFill="1" applyBorder="1"/>
    <xf numFmtId="0" fontId="0" fillId="0" borderId="3" xfId="0" applyBorder="1"/>
    <xf numFmtId="0" fontId="3" fillId="0" borderId="4" xfId="0" applyFont="1" applyBorder="1"/>
    <xf numFmtId="0" fontId="3" fillId="0" borderId="5" xfId="0" applyFont="1" applyBorder="1" applyAlignment="1">
      <alignment horizontal="center"/>
    </xf>
    <xf numFmtId="0" fontId="0" fillId="0" borderId="7" xfId="0" applyBorder="1"/>
    <xf numFmtId="0" fontId="3" fillId="0" borderId="20" xfId="0" applyFont="1" applyBorder="1"/>
    <xf numFmtId="0" fontId="0" fillId="0" borderId="5" xfId="0" applyBorder="1"/>
    <xf numFmtId="0" fontId="0" fillId="0" borderId="8" xfId="0" applyBorder="1"/>
    <xf numFmtId="0" fontId="3" fillId="0" borderId="3" xfId="0" applyFont="1" applyBorder="1" applyAlignment="1">
      <alignment horizontal="center"/>
    </xf>
    <xf numFmtId="0" fontId="0" fillId="0" borderId="6" xfId="0" applyBorder="1"/>
    <xf numFmtId="38" fontId="0" fillId="0" borderId="0" xfId="1" applyNumberFormat="1" applyFont="1" applyFill="1" applyBorder="1" applyAlignment="1">
      <alignment horizontal="center"/>
    </xf>
    <xf numFmtId="38" fontId="0" fillId="0" borderId="7" xfId="1" applyNumberFormat="1" applyFont="1" applyFill="1" applyBorder="1" applyAlignment="1">
      <alignment horizontal="center"/>
    </xf>
    <xf numFmtId="0" fontId="0" fillId="2" borderId="4" xfId="0" applyFill="1" applyBorder="1" applyAlignment="1">
      <alignment vertical="center"/>
    </xf>
    <xf numFmtId="164" fontId="0" fillId="0" borderId="5" xfId="1" applyNumberFormat="1" applyFont="1" applyBorder="1" applyAlignment="1">
      <alignment horizontal="center"/>
    </xf>
    <xf numFmtId="0" fontId="19" fillId="0" borderId="0" xfId="3"/>
    <xf numFmtId="9" fontId="0" fillId="4" borderId="0" xfId="0" applyNumberFormat="1" applyFill="1"/>
    <xf numFmtId="0" fontId="0" fillId="0" borderId="2" xfId="0"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3" fontId="17" fillId="0" borderId="4" xfId="0" applyNumberFormat="1" applyFont="1" applyBorder="1" applyAlignment="1">
      <alignment horizontal="center"/>
    </xf>
    <xf numFmtId="3" fontId="17" fillId="0" borderId="4" xfId="0" applyNumberFormat="1" applyFont="1" applyBorder="1" applyAlignment="1">
      <alignment horizontal="center" vertical="center"/>
    </xf>
    <xf numFmtId="0" fontId="0" fillId="0" borderId="6" xfId="0" applyBorder="1" applyAlignment="1">
      <alignment horizontal="center"/>
    </xf>
    <xf numFmtId="3" fontId="17" fillId="0" borderId="1" xfId="0" applyNumberFormat="1" applyFont="1" applyBorder="1" applyAlignment="1">
      <alignment horizontal="center"/>
    </xf>
    <xf numFmtId="164" fontId="0" fillId="6" borderId="18" xfId="0" applyNumberFormat="1" applyFill="1" applyBorder="1"/>
    <xf numFmtId="164" fontId="0" fillId="0" borderId="24" xfId="0" applyNumberFormat="1" applyBorder="1"/>
    <xf numFmtId="0" fontId="0" fillId="0" borderId="25" xfId="0" applyBorder="1"/>
    <xf numFmtId="0" fontId="3" fillId="6" borderId="0" xfId="0" applyFont="1" applyFill="1"/>
    <xf numFmtId="0" fontId="3" fillId="0" borderId="23" xfId="0" applyFont="1" applyBorder="1" applyAlignment="1">
      <alignment horizontal="center"/>
    </xf>
    <xf numFmtId="0" fontId="14" fillId="0" borderId="4" xfId="0" applyFont="1" applyBorder="1"/>
    <xf numFmtId="0" fontId="14" fillId="0" borderId="24" xfId="0" applyFont="1" applyBorder="1" applyAlignment="1">
      <alignment horizontal="center"/>
    </xf>
    <xf numFmtId="0" fontId="14" fillId="0" borderId="5" xfId="0" applyFont="1" applyBorder="1" applyAlignment="1">
      <alignment horizontal="center"/>
    </xf>
    <xf numFmtId="164" fontId="0" fillId="6" borderId="22" xfId="1" applyNumberFormat="1" applyFont="1" applyFill="1" applyBorder="1"/>
    <xf numFmtId="0" fontId="0" fillId="0" borderId="15" xfId="0" applyBorder="1"/>
    <xf numFmtId="0" fontId="0" fillId="0" borderId="21" xfId="0" applyBorder="1"/>
    <xf numFmtId="164" fontId="0" fillId="0" borderId="15" xfId="1" applyNumberFormat="1" applyFont="1" applyBorder="1"/>
    <xf numFmtId="0" fontId="3" fillId="7" borderId="17" xfId="0" applyFont="1" applyFill="1" applyBorder="1"/>
    <xf numFmtId="164" fontId="0" fillId="0" borderId="17" xfId="1" applyNumberFormat="1" applyFont="1" applyBorder="1"/>
    <xf numFmtId="49" fontId="3" fillId="0" borderId="7" xfId="0" applyNumberFormat="1" applyFont="1" applyBorder="1"/>
    <xf numFmtId="0" fontId="3" fillId="7" borderId="15" xfId="0" applyFont="1" applyFill="1" applyBorder="1" applyAlignment="1">
      <alignment horizontal="center"/>
    </xf>
    <xf numFmtId="0" fontId="0" fillId="7" borderId="21" xfId="0" applyFill="1" applyBorder="1"/>
    <xf numFmtId="0" fontId="3" fillId="7" borderId="32" xfId="0" applyFont="1" applyFill="1" applyBorder="1"/>
    <xf numFmtId="164" fontId="0" fillId="0" borderId="26" xfId="0" applyNumberFormat="1" applyBorder="1"/>
    <xf numFmtId="0" fontId="17" fillId="0" borderId="0" xfId="0" applyFont="1" applyAlignment="1">
      <alignment horizontal="center"/>
    </xf>
    <xf numFmtId="0" fontId="3" fillId="0" borderId="1" xfId="0" applyFont="1" applyBorder="1"/>
    <xf numFmtId="0" fontId="3" fillId="0" borderId="6" xfId="0" applyFont="1" applyBorder="1"/>
    <xf numFmtId="0" fontId="3" fillId="0" borderId="25" xfId="0" applyFont="1" applyBorder="1" applyAlignment="1">
      <alignment horizontal="center"/>
    </xf>
    <xf numFmtId="0" fontId="3" fillId="0" borderId="8" xfId="0" applyFont="1" applyBorder="1" applyAlignment="1">
      <alignment horizontal="center"/>
    </xf>
    <xf numFmtId="0" fontId="0" fillId="8" borderId="0" xfId="0" applyFill="1"/>
    <xf numFmtId="0" fontId="3" fillId="8" borderId="0" xfId="0" applyFont="1" applyFill="1"/>
    <xf numFmtId="164" fontId="0" fillId="8" borderId="0" xfId="1" applyNumberFormat="1" applyFont="1" applyFill="1"/>
    <xf numFmtId="0" fontId="9" fillId="8" borderId="0" xfId="0" applyFont="1" applyFill="1"/>
    <xf numFmtId="0" fontId="18" fillId="8" borderId="0" xfId="0" applyFont="1" applyFill="1"/>
    <xf numFmtId="0" fontId="11" fillId="0" borderId="4" xfId="0" applyFont="1" applyBorder="1"/>
    <xf numFmtId="0" fontId="16" fillId="8" borderId="0" xfId="0" applyFont="1" applyFill="1"/>
    <xf numFmtId="0" fontId="3" fillId="6" borderId="5" xfId="0" applyFont="1" applyFill="1" applyBorder="1" applyAlignment="1">
      <alignment horizontal="center"/>
    </xf>
    <xf numFmtId="0" fontId="3" fillId="6" borderId="18" xfId="0" applyFont="1" applyFill="1" applyBorder="1"/>
    <xf numFmtId="0" fontId="2" fillId="0" borderId="0" xfId="0" applyFont="1"/>
    <xf numFmtId="0" fontId="0" fillId="0" borderId="35" xfId="0" applyBorder="1"/>
    <xf numFmtId="0" fontId="3" fillId="2" borderId="0" xfId="0" applyFont="1" applyFill="1" applyAlignment="1">
      <alignment horizontal="center"/>
    </xf>
    <xf numFmtId="0" fontId="4" fillId="0" borderId="0" xfId="0" applyFont="1"/>
    <xf numFmtId="0" fontId="21" fillId="2" borderId="4" xfId="0" applyFont="1" applyFill="1" applyBorder="1" applyAlignment="1">
      <alignment vertical="center"/>
    </xf>
    <xf numFmtId="0" fontId="21" fillId="2" borderId="6" xfId="0" applyFont="1" applyFill="1" applyBorder="1" applyAlignment="1">
      <alignment vertical="center"/>
    </xf>
    <xf numFmtId="0" fontId="10" fillId="2" borderId="2" xfId="0" applyFont="1" applyFill="1" applyBorder="1" applyAlignment="1">
      <alignment vertical="center"/>
    </xf>
    <xf numFmtId="0" fontId="4" fillId="0" borderId="0" xfId="0" applyFont="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5" fillId="2" borderId="0" xfId="0" applyFont="1" applyFill="1"/>
    <xf numFmtId="2" fontId="6" fillId="2" borderId="0" xfId="0" applyNumberFormat="1" applyFont="1" applyFill="1"/>
    <xf numFmtId="0" fontId="10" fillId="2" borderId="0" xfId="0" applyFont="1" applyFill="1" applyAlignment="1">
      <alignment vertical="center"/>
    </xf>
    <xf numFmtId="0" fontId="10" fillId="2" borderId="7" xfId="0" applyFont="1" applyFill="1" applyBorder="1" applyAlignment="1">
      <alignment vertical="center"/>
    </xf>
    <xf numFmtId="0" fontId="22" fillId="0" borderId="0" xfId="0" applyFont="1"/>
    <xf numFmtId="0" fontId="0" fillId="0" borderId="4" xfId="0" applyBorder="1" applyAlignment="1">
      <alignment horizontal="center"/>
    </xf>
    <xf numFmtId="38" fontId="0" fillId="0" borderId="23" xfId="0" applyNumberFormat="1" applyBorder="1" applyAlignment="1">
      <alignment horizontal="center"/>
    </xf>
    <xf numFmtId="38" fontId="0" fillId="0" borderId="24" xfId="0" applyNumberForma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4" xfId="0" applyBorder="1"/>
    <xf numFmtId="0" fontId="0" fillId="0" borderId="0" xfId="0" applyAlignment="1">
      <alignment horizontal="left"/>
    </xf>
    <xf numFmtId="9" fontId="0" fillId="0" borderId="34" xfId="0" applyNumberFormat="1" applyBorder="1" applyAlignment="1">
      <alignment wrapText="1"/>
    </xf>
    <xf numFmtId="0" fontId="14" fillId="2" borderId="1" xfId="0" applyFont="1" applyFill="1" applyBorder="1" applyAlignment="1">
      <alignment horizontal="center"/>
    </xf>
    <xf numFmtId="164" fontId="0" fillId="6" borderId="31" xfId="0" applyNumberFormat="1" applyFill="1" applyBorder="1"/>
    <xf numFmtId="0" fontId="22" fillId="0" borderId="0" xfId="0" applyFont="1" applyAlignment="1">
      <alignment horizontal="center"/>
    </xf>
    <xf numFmtId="0" fontId="15" fillId="0" borderId="4" xfId="0" applyFont="1" applyBorder="1" applyAlignment="1">
      <alignment horizontal="center" wrapText="1"/>
    </xf>
    <xf numFmtId="0" fontId="15" fillId="2" borderId="1" xfId="0" applyFont="1" applyFill="1" applyBorder="1" applyAlignment="1">
      <alignment horizontal="center"/>
    </xf>
    <xf numFmtId="3" fontId="22" fillId="0" borderId="1" xfId="0" applyNumberFormat="1" applyFont="1" applyBorder="1" applyAlignment="1">
      <alignment horizontal="center"/>
    </xf>
    <xf numFmtId="3" fontId="22" fillId="0" borderId="4" xfId="0" applyNumberFormat="1" applyFont="1" applyBorder="1" applyAlignment="1">
      <alignment horizontal="center"/>
    </xf>
    <xf numFmtId="3" fontId="22" fillId="0" borderId="4" xfId="0" applyNumberFormat="1" applyFont="1" applyBorder="1" applyAlignment="1">
      <alignment horizontal="center" vertical="center"/>
    </xf>
    <xf numFmtId="38" fontId="22" fillId="0" borderId="4" xfId="0" applyNumberFormat="1" applyFont="1" applyBorder="1" applyAlignment="1">
      <alignment horizontal="center"/>
    </xf>
    <xf numFmtId="38" fontId="22" fillId="0" borderId="6" xfId="0" applyNumberFormat="1" applyFont="1" applyBorder="1" applyAlignment="1">
      <alignment horizontal="center"/>
    </xf>
    <xf numFmtId="38" fontId="22" fillId="0" borderId="4" xfId="1" applyNumberFormat="1" applyFont="1" applyBorder="1" applyAlignment="1">
      <alignment horizontal="center"/>
    </xf>
    <xf numFmtId="38" fontId="22" fillId="0" borderId="6" xfId="1" applyNumberFormat="1" applyFont="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xf numFmtId="0" fontId="14" fillId="0" borderId="4" xfId="0" applyFont="1" applyBorder="1" applyAlignment="1">
      <alignment horizontal="center" wrapText="1"/>
    </xf>
    <xf numFmtId="38" fontId="17" fillId="0" borderId="4" xfId="0" applyNumberFormat="1" applyFont="1" applyBorder="1" applyAlignment="1">
      <alignment horizontal="center"/>
    </xf>
    <xf numFmtId="38" fontId="17" fillId="0" borderId="6" xfId="0" applyNumberFormat="1" applyFont="1" applyBorder="1" applyAlignment="1">
      <alignment horizontal="center"/>
    </xf>
    <xf numFmtId="38" fontId="17" fillId="0" borderId="4" xfId="1" applyNumberFormat="1" applyFont="1" applyBorder="1" applyAlignment="1">
      <alignment horizontal="center"/>
    </xf>
    <xf numFmtId="38" fontId="17" fillId="0" borderId="6" xfId="1" applyNumberFormat="1"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3" fillId="2" borderId="9" xfId="0" applyFont="1" applyFill="1" applyBorder="1" applyAlignment="1">
      <alignment vertical="center"/>
    </xf>
    <xf numFmtId="0" fontId="3" fillId="2" borderId="11"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12" fillId="0" borderId="0" xfId="0" applyFont="1" applyAlignment="1">
      <alignment horizontal="center"/>
    </xf>
    <xf numFmtId="0" fontId="0" fillId="0" borderId="37" xfId="0" applyBorder="1"/>
    <xf numFmtId="0" fontId="0" fillId="0" borderId="30" xfId="0" applyBorder="1"/>
    <xf numFmtId="9" fontId="0" fillId="5" borderId="15" xfId="2" applyFont="1" applyFill="1" applyBorder="1" applyProtection="1">
      <protection locked="0"/>
    </xf>
    <xf numFmtId="9" fontId="0" fillId="5" borderId="18" xfId="2" applyFont="1" applyFill="1" applyBorder="1" applyProtection="1">
      <protection locked="0"/>
    </xf>
    <xf numFmtId="0" fontId="0" fillId="5" borderId="15" xfId="0" applyFill="1" applyBorder="1" applyProtection="1">
      <protection locked="0"/>
    </xf>
    <xf numFmtId="38" fontId="0" fillId="0" borderId="7" xfId="0" applyNumberFormat="1" applyBorder="1"/>
    <xf numFmtId="0" fontId="4" fillId="0" borderId="0" xfId="0" applyFont="1" applyAlignment="1">
      <alignment wrapText="1"/>
    </xf>
    <xf numFmtId="165" fontId="24" fillId="2" borderId="38" xfId="0" applyNumberFormat="1" applyFont="1" applyFill="1" applyBorder="1"/>
    <xf numFmtId="0" fontId="24" fillId="2" borderId="39" xfId="0" applyFont="1" applyFill="1" applyBorder="1"/>
    <xf numFmtId="10" fontId="0" fillId="0" borderId="0" xfId="2" applyNumberFormat="1" applyFont="1"/>
    <xf numFmtId="0" fontId="25" fillId="0" borderId="0" xfId="0" applyFont="1"/>
    <xf numFmtId="0" fontId="26" fillId="0" borderId="0" xfId="0" applyFont="1"/>
    <xf numFmtId="0" fontId="26" fillId="0" borderId="0" xfId="0" applyFont="1" applyAlignment="1">
      <alignment horizontal="center"/>
    </xf>
    <xf numFmtId="0" fontId="27" fillId="2" borderId="1" xfId="0" applyFont="1" applyFill="1" applyBorder="1"/>
    <xf numFmtId="10" fontId="28" fillId="2" borderId="3" xfId="0" applyNumberFormat="1" applyFont="1" applyFill="1" applyBorder="1"/>
    <xf numFmtId="0" fontId="27" fillId="2" borderId="4" xfId="0" applyFont="1" applyFill="1" applyBorder="1"/>
    <xf numFmtId="9" fontId="28" fillId="2" borderId="5" xfId="0" applyNumberFormat="1" applyFont="1" applyFill="1" applyBorder="1"/>
    <xf numFmtId="38" fontId="26" fillId="0" borderId="0" xfId="0" applyNumberFormat="1" applyFont="1"/>
    <xf numFmtId="0" fontId="29" fillId="0" borderId="0" xfId="0" applyFont="1" applyAlignment="1">
      <alignment horizontal="left"/>
    </xf>
    <xf numFmtId="0" fontId="27" fillId="2" borderId="6" xfId="0" applyFont="1" applyFill="1" applyBorder="1"/>
    <xf numFmtId="2" fontId="28" fillId="2" borderId="8" xfId="0" applyNumberFormat="1" applyFont="1" applyFill="1" applyBorder="1"/>
    <xf numFmtId="0" fontId="30" fillId="0" borderId="0" xfId="0" applyFont="1" applyAlignment="1">
      <alignment horizontal="center"/>
    </xf>
    <xf numFmtId="0" fontId="25" fillId="0" borderId="4" xfId="0" applyFont="1" applyBorder="1" applyAlignment="1">
      <alignment horizontal="center" wrapText="1"/>
    </xf>
    <xf numFmtId="0" fontId="25" fillId="0" borderId="0" xfId="0" applyFont="1" applyAlignment="1">
      <alignment horizontal="center" wrapText="1"/>
    </xf>
    <xf numFmtId="0" fontId="25" fillId="0" borderId="5" xfId="0" applyFont="1" applyBorder="1" applyAlignment="1">
      <alignment horizontal="center" wrapText="1"/>
    </xf>
    <xf numFmtId="0" fontId="25" fillId="2" borderId="9" xfId="0" applyFont="1" applyFill="1" applyBorder="1" applyAlignment="1">
      <alignment vertical="center"/>
    </xf>
    <xf numFmtId="0" fontId="25" fillId="2" borderId="11" xfId="0" applyFont="1" applyFill="1" applyBorder="1" applyAlignment="1">
      <alignment horizontal="center"/>
    </xf>
    <xf numFmtId="0" fontId="25" fillId="2" borderId="9" xfId="0" applyFont="1" applyFill="1" applyBorder="1" applyAlignment="1">
      <alignment horizontal="center"/>
    </xf>
    <xf numFmtId="0" fontId="25" fillId="2" borderId="10" xfId="0" applyFont="1" applyFill="1" applyBorder="1" applyAlignment="1">
      <alignment horizontal="center"/>
    </xf>
    <xf numFmtId="0" fontId="31" fillId="2" borderId="1" xfId="0" applyFont="1" applyFill="1" applyBorder="1" applyAlignment="1">
      <alignment vertical="center"/>
    </xf>
    <xf numFmtId="0" fontId="26" fillId="0" borderId="2" xfId="0" applyFont="1" applyBorder="1" applyAlignment="1">
      <alignment horizontal="center"/>
    </xf>
    <xf numFmtId="38" fontId="26" fillId="0" borderId="1" xfId="0" applyNumberFormat="1" applyFont="1" applyBorder="1" applyAlignment="1">
      <alignment horizontal="center"/>
    </xf>
    <xf numFmtId="38" fontId="26" fillId="0" borderId="2" xfId="0" applyNumberFormat="1" applyFont="1" applyBorder="1" applyAlignment="1">
      <alignment horizontal="center"/>
    </xf>
    <xf numFmtId="38" fontId="26" fillId="0" borderId="3" xfId="0" applyNumberFormat="1" applyFont="1" applyBorder="1" applyAlignment="1">
      <alignment horizontal="center"/>
    </xf>
    <xf numFmtId="0" fontId="31" fillId="2" borderId="4" xfId="0" applyFont="1" applyFill="1" applyBorder="1" applyAlignment="1">
      <alignment vertical="center"/>
    </xf>
    <xf numFmtId="38" fontId="26" fillId="0" borderId="4" xfId="0" applyNumberFormat="1" applyFont="1" applyBorder="1" applyAlignment="1">
      <alignment horizontal="center"/>
    </xf>
    <xf numFmtId="38" fontId="26" fillId="0" borderId="0" xfId="0" applyNumberFormat="1" applyFont="1" applyAlignment="1">
      <alignment horizontal="center"/>
    </xf>
    <xf numFmtId="38" fontId="26" fillId="0" borderId="5" xfId="0" applyNumberFormat="1" applyFont="1" applyBorder="1" applyAlignment="1">
      <alignment horizontal="center"/>
    </xf>
    <xf numFmtId="0" fontId="31" fillId="2" borderId="6" xfId="0" applyFont="1" applyFill="1" applyBorder="1" applyAlignment="1">
      <alignment vertical="center"/>
    </xf>
    <xf numFmtId="0" fontId="26" fillId="0" borderId="7" xfId="0" applyFont="1" applyBorder="1" applyAlignment="1">
      <alignment horizontal="center"/>
    </xf>
    <xf numFmtId="38" fontId="26" fillId="0" borderId="6" xfId="0" applyNumberFormat="1" applyFont="1" applyBorder="1" applyAlignment="1">
      <alignment horizontal="center"/>
    </xf>
    <xf numFmtId="38" fontId="26" fillId="0" borderId="7" xfId="0" applyNumberFormat="1" applyFont="1" applyBorder="1" applyAlignment="1">
      <alignment horizontal="center"/>
    </xf>
    <xf numFmtId="38" fontId="26" fillId="0" borderId="8" xfId="0" applyNumberFormat="1" applyFont="1" applyBorder="1" applyAlignment="1">
      <alignment horizontal="center"/>
    </xf>
    <xf numFmtId="0" fontId="32" fillId="0" borderId="0" xfId="0" applyFont="1"/>
    <xf numFmtId="0" fontId="0" fillId="2" borderId="0" xfId="0" applyFill="1" applyAlignment="1">
      <alignment vertical="center"/>
    </xf>
    <xf numFmtId="0" fontId="9" fillId="0" borderId="1" xfId="0" applyFont="1" applyBorder="1"/>
    <xf numFmtId="0" fontId="9" fillId="0" borderId="1" xfId="0" applyFont="1" applyBorder="1" applyAlignment="1">
      <alignment horizontal="left"/>
    </xf>
    <xf numFmtId="9" fontId="0" fillId="5" borderId="33" xfId="2" applyFont="1" applyFill="1" applyBorder="1" applyProtection="1">
      <protection locked="0"/>
    </xf>
    <xf numFmtId="164" fontId="0" fillId="5" borderId="24" xfId="1" applyNumberFormat="1" applyFont="1" applyFill="1" applyBorder="1" applyAlignment="1" applyProtection="1">
      <alignment horizontal="center"/>
      <protection locked="0"/>
    </xf>
    <xf numFmtId="164" fontId="0" fillId="5" borderId="25" xfId="1" applyNumberFormat="1" applyFont="1" applyFill="1" applyBorder="1" applyAlignment="1" applyProtection="1">
      <alignment horizontal="center"/>
      <protection locked="0"/>
    </xf>
    <xf numFmtId="0" fontId="0" fillId="6" borderId="26" xfId="0" applyFill="1" applyBorder="1"/>
    <xf numFmtId="0" fontId="0" fillId="4" borderId="40" xfId="0" applyFill="1" applyBorder="1"/>
    <xf numFmtId="0" fontId="0" fillId="0" borderId="40" xfId="0" applyBorder="1"/>
    <xf numFmtId="0" fontId="0" fillId="5" borderId="22" xfId="0" applyFill="1" applyBorder="1" applyProtection="1">
      <protection locked="0"/>
    </xf>
    <xf numFmtId="165" fontId="3" fillId="0" borderId="0" xfId="0" applyNumberFormat="1" applyFont="1" applyAlignment="1">
      <alignment horizontal="center"/>
    </xf>
    <xf numFmtId="0" fontId="0" fillId="5" borderId="15" xfId="0" applyFill="1" applyBorder="1" applyAlignment="1" applyProtection="1">
      <alignment wrapText="1"/>
      <protection locked="0"/>
    </xf>
    <xf numFmtId="0" fontId="17" fillId="0" borderId="0" xfId="0" applyFont="1" applyAlignment="1">
      <alignment horizontal="center" wrapText="1"/>
    </xf>
    <xf numFmtId="164" fontId="0" fillId="5" borderId="15" xfId="1" applyNumberFormat="1" applyFont="1" applyFill="1" applyBorder="1" applyProtection="1">
      <protection locked="0"/>
    </xf>
    <xf numFmtId="0" fontId="0" fillId="5" borderId="18" xfId="0" applyFill="1" applyBorder="1" applyAlignment="1" applyProtection="1">
      <alignment wrapText="1"/>
      <protection locked="0"/>
    </xf>
    <xf numFmtId="0" fontId="3" fillId="8" borderId="0" xfId="0" applyFont="1" applyFill="1" applyAlignment="1">
      <alignment horizontal="center"/>
    </xf>
    <xf numFmtId="164" fontId="0" fillId="8" borderId="0" xfId="0" applyNumberFormat="1" applyFill="1"/>
    <xf numFmtId="0" fontId="0" fillId="6" borderId="15" xfId="0" applyFill="1" applyBorder="1" applyAlignment="1" applyProtection="1">
      <alignment wrapText="1"/>
      <protection locked="0"/>
    </xf>
    <xf numFmtId="0" fontId="0" fillId="9" borderId="0" xfId="0" applyFill="1"/>
    <xf numFmtId="0" fontId="9" fillId="10" borderId="0" xfId="0" applyFont="1" applyFill="1"/>
    <xf numFmtId="0" fontId="0" fillId="10" borderId="0" xfId="0" applyFill="1"/>
    <xf numFmtId="164" fontId="0" fillId="10" borderId="0" xfId="1" applyNumberFormat="1" applyFont="1" applyFill="1"/>
    <xf numFmtId="0" fontId="18" fillId="10" borderId="0" xfId="0" applyFont="1" applyFill="1"/>
    <xf numFmtId="0" fontId="3" fillId="10" borderId="0" xfId="0" applyFont="1" applyFill="1"/>
    <xf numFmtId="49" fontId="0" fillId="5" borderId="15" xfId="0" applyNumberFormat="1" applyFill="1" applyBorder="1" applyProtection="1">
      <protection locked="0"/>
    </xf>
    <xf numFmtId="164" fontId="17" fillId="5" borderId="15" xfId="1" applyNumberFormat="1" applyFont="1" applyFill="1" applyBorder="1" applyProtection="1">
      <protection locked="0"/>
    </xf>
    <xf numFmtId="9" fontId="0" fillId="4" borderId="34" xfId="0" applyNumberFormat="1" applyFill="1" applyBorder="1" applyAlignment="1">
      <alignment wrapText="1"/>
    </xf>
    <xf numFmtId="0" fontId="23" fillId="10" borderId="0" xfId="0" applyFont="1" applyFill="1"/>
    <xf numFmtId="0" fontId="0" fillId="10" borderId="0" xfId="0" applyFill="1" applyProtection="1">
      <protection locked="0"/>
    </xf>
    <xf numFmtId="0" fontId="32" fillId="0" borderId="2" xfId="0" applyFont="1" applyBorder="1"/>
    <xf numFmtId="0" fontId="32" fillId="0" borderId="3" xfId="0" applyFont="1" applyBorder="1"/>
    <xf numFmtId="0" fontId="32" fillId="0" borderId="5" xfId="0" applyFont="1" applyBorder="1"/>
    <xf numFmtId="0" fontId="34" fillId="0" borderId="23" xfId="0" applyFont="1" applyBorder="1"/>
    <xf numFmtId="0" fontId="33" fillId="0" borderId="0" xfId="0" applyFont="1"/>
    <xf numFmtId="0" fontId="33" fillId="0" borderId="5" xfId="0" applyFont="1" applyBorder="1"/>
    <xf numFmtId="0" fontId="33" fillId="0" borderId="7" xfId="0" applyFont="1" applyBorder="1"/>
    <xf numFmtId="0" fontId="33" fillId="0" borderId="8" xfId="0" applyFont="1" applyBorder="1"/>
    <xf numFmtId="0" fontId="34" fillId="0" borderId="24" xfId="0" applyFont="1" applyBorder="1"/>
    <xf numFmtId="0" fontId="33" fillId="5" borderId="24" xfId="0" applyFont="1" applyFill="1" applyBorder="1" applyProtection="1">
      <protection locked="0"/>
    </xf>
    <xf numFmtId="2" fontId="33" fillId="5" borderId="25" xfId="0" applyNumberFormat="1" applyFont="1" applyFill="1" applyBorder="1" applyProtection="1">
      <protection locked="0"/>
    </xf>
    <xf numFmtId="0" fontId="0" fillId="4" borderId="44" xfId="0" applyFill="1" applyBorder="1" applyAlignment="1">
      <alignment horizontal="left"/>
    </xf>
    <xf numFmtId="0" fontId="0" fillId="0" borderId="44" xfId="0" applyBorder="1" applyAlignment="1">
      <alignment horizontal="left"/>
    </xf>
    <xf numFmtId="0" fontId="0" fillId="4" borderId="45" xfId="0" applyFill="1" applyBorder="1" applyAlignment="1">
      <alignment horizontal="left"/>
    </xf>
    <xf numFmtId="0" fontId="0" fillId="4" borderId="43" xfId="0" applyFill="1" applyBorder="1" applyAlignment="1">
      <alignment horizontal="left"/>
    </xf>
    <xf numFmtId="0" fontId="35" fillId="12" borderId="0" xfId="0" applyFont="1" applyFill="1"/>
    <xf numFmtId="0" fontId="9" fillId="0" borderId="2" xfId="0" applyFont="1" applyBorder="1"/>
    <xf numFmtId="0" fontId="3" fillId="6" borderId="11" xfId="0" applyFont="1" applyFill="1" applyBorder="1"/>
    <xf numFmtId="43" fontId="0" fillId="0" borderId="0" xfId="1" applyFont="1"/>
    <xf numFmtId="43" fontId="3" fillId="0" borderId="0" xfId="1" applyFont="1"/>
    <xf numFmtId="43" fontId="2" fillId="11" borderId="15" xfId="1" applyFont="1" applyFill="1" applyBorder="1"/>
    <xf numFmtId="43" fontId="2" fillId="12" borderId="15" xfId="1" applyFont="1" applyFill="1" applyBorder="1"/>
    <xf numFmtId="43" fontId="2" fillId="12" borderId="0" xfId="1" applyFont="1" applyFill="1"/>
    <xf numFmtId="0" fontId="14" fillId="2" borderId="0" xfId="0" applyFont="1" applyFill="1" applyAlignment="1">
      <alignment horizontal="center"/>
    </xf>
    <xf numFmtId="0" fontId="24" fillId="2" borderId="49" xfId="0" applyFont="1" applyFill="1" applyBorder="1"/>
    <xf numFmtId="0" fontId="24" fillId="2" borderId="0" xfId="0" applyFont="1" applyFill="1" applyAlignment="1">
      <alignment horizontal="left"/>
    </xf>
    <xf numFmtId="164" fontId="0" fillId="0" borderId="0" xfId="1" applyNumberFormat="1" applyFont="1"/>
    <xf numFmtId="0" fontId="24" fillId="2" borderId="0" xfId="0" applyFont="1" applyFill="1"/>
    <xf numFmtId="0" fontId="17" fillId="0" borderId="27" xfId="0" applyFont="1" applyBorder="1"/>
    <xf numFmtId="0" fontId="17" fillId="0" borderId="28" xfId="0" applyFont="1" applyBorder="1"/>
    <xf numFmtId="0" fontId="17" fillId="0" borderId="0" xfId="0" applyFont="1"/>
    <xf numFmtId="0" fontId="17" fillId="0" borderId="21" xfId="0" applyFont="1" applyBorder="1"/>
    <xf numFmtId="0" fontId="17" fillId="0" borderId="15" xfId="0" applyFont="1" applyBorder="1"/>
    <xf numFmtId="0" fontId="17" fillId="0" borderId="17" xfId="0" applyFont="1" applyBorder="1"/>
    <xf numFmtId="0" fontId="17" fillId="0" borderId="30" xfId="0" applyFont="1" applyBorder="1"/>
    <xf numFmtId="0" fontId="17" fillId="0" borderId="18" xfId="0" applyFont="1" applyBorder="1"/>
    <xf numFmtId="0" fontId="17" fillId="0" borderId="19" xfId="0" applyFont="1" applyBorder="1"/>
    <xf numFmtId="0" fontId="14" fillId="0" borderId="0" xfId="0" applyFont="1"/>
    <xf numFmtId="43" fontId="17" fillId="0" borderId="15" xfId="0" applyNumberFormat="1" applyFont="1" applyBorder="1"/>
    <xf numFmtId="43" fontId="17" fillId="0" borderId="18" xfId="0" applyNumberFormat="1" applyFont="1" applyBorder="1"/>
    <xf numFmtId="43" fontId="17" fillId="0" borderId="15" xfId="1" applyFont="1" applyBorder="1"/>
    <xf numFmtId="43" fontId="17" fillId="0" borderId="18" xfId="1" applyFont="1" applyBorder="1"/>
    <xf numFmtId="43" fontId="17" fillId="0" borderId="0" xfId="1" applyFont="1"/>
    <xf numFmtId="0" fontId="17" fillId="0" borderId="17" xfId="0" applyFont="1" applyBorder="1" applyAlignment="1">
      <alignment horizontal="right"/>
    </xf>
    <xf numFmtId="43" fontId="17" fillId="0" borderId="17" xfId="0" applyNumberFormat="1" applyFont="1" applyBorder="1"/>
    <xf numFmtId="43" fontId="2" fillId="0" borderId="0" xfId="1" applyFont="1"/>
    <xf numFmtId="43" fontId="24" fillId="2" borderId="46" xfId="1" applyFont="1" applyFill="1" applyBorder="1"/>
    <xf numFmtId="43" fontId="24" fillId="2" borderId="50" xfId="1" applyFont="1" applyFill="1" applyBorder="1"/>
    <xf numFmtId="43" fontId="17" fillId="0" borderId="0" xfId="0" applyNumberFormat="1" applyFont="1"/>
    <xf numFmtId="43" fontId="0" fillId="0" borderId="0" xfId="0" applyNumberFormat="1"/>
    <xf numFmtId="164" fontId="0" fillId="0" borderId="0" xfId="0" applyNumberFormat="1"/>
    <xf numFmtId="164" fontId="0" fillId="0" borderId="6" xfId="0" applyNumberFormat="1" applyBorder="1"/>
    <xf numFmtId="164" fontId="17" fillId="0" borderId="15" xfId="0" applyNumberFormat="1" applyFont="1" applyBorder="1"/>
    <xf numFmtId="0" fontId="5" fillId="0" borderId="0" xfId="0" applyFont="1" applyAlignment="1">
      <alignment horizontal="right"/>
    </xf>
    <xf numFmtId="0" fontId="17" fillId="0" borderId="15" xfId="0" applyFont="1" applyBorder="1" applyAlignment="1">
      <alignment horizontal="right"/>
    </xf>
    <xf numFmtId="0" fontId="14" fillId="0" borderId="28" xfId="0" applyFont="1" applyBorder="1"/>
    <xf numFmtId="0" fontId="17" fillId="10" borderId="0" xfId="0" applyFont="1" applyFill="1"/>
    <xf numFmtId="43" fontId="14" fillId="10" borderId="15" xfId="1" applyFont="1" applyFill="1" applyBorder="1"/>
    <xf numFmtId="0" fontId="0" fillId="10" borderId="15" xfId="0" applyFill="1" applyBorder="1" applyProtection="1">
      <protection locked="0"/>
    </xf>
    <xf numFmtId="43" fontId="17" fillId="10" borderId="15" xfId="1" applyFont="1" applyFill="1" applyBorder="1"/>
    <xf numFmtId="43" fontId="1" fillId="0" borderId="0" xfId="1" applyFont="1"/>
    <xf numFmtId="43" fontId="17" fillId="13" borderId="15" xfId="1" applyFont="1" applyFill="1" applyBorder="1" applyAlignment="1">
      <alignment horizontal="right"/>
    </xf>
    <xf numFmtId="43" fontId="14" fillId="0" borderId="0" xfId="1" applyFont="1"/>
    <xf numFmtId="0" fontId="0" fillId="14" borderId="2" xfId="0" applyFill="1" applyBorder="1"/>
    <xf numFmtId="43" fontId="0" fillId="14" borderId="3" xfId="1" applyFont="1" applyFill="1" applyBorder="1"/>
    <xf numFmtId="164" fontId="0" fillId="14" borderId="51" xfId="0" applyNumberFormat="1" applyFill="1" applyBorder="1"/>
    <xf numFmtId="0" fontId="0" fillId="14" borderId="0" xfId="0" applyFill="1"/>
    <xf numFmtId="43" fontId="0" fillId="14" borderId="5" xfId="1" applyFont="1" applyFill="1" applyBorder="1"/>
    <xf numFmtId="0" fontId="0" fillId="14" borderId="7" xfId="0" applyFill="1" applyBorder="1"/>
    <xf numFmtId="43" fontId="0" fillId="14" borderId="8" xfId="1" applyFont="1" applyFill="1" applyBorder="1"/>
    <xf numFmtId="9" fontId="0" fillId="10" borderId="34" xfId="0" applyNumberFormat="1" applyFill="1" applyBorder="1" applyAlignment="1">
      <alignment wrapText="1"/>
    </xf>
    <xf numFmtId="0" fontId="36" fillId="15" borderId="0" xfId="0" applyFont="1" applyFill="1"/>
    <xf numFmtId="0" fontId="37" fillId="2" borderId="48" xfId="0" applyFont="1" applyFill="1" applyBorder="1"/>
    <xf numFmtId="0" fontId="37" fillId="2" borderId="47" xfId="0" applyFont="1" applyFill="1" applyBorder="1"/>
    <xf numFmtId="0" fontId="24" fillId="16" borderId="49" xfId="0" applyFont="1" applyFill="1" applyBorder="1"/>
    <xf numFmtId="0" fontId="38" fillId="0" borderId="0" xfId="0" applyFont="1"/>
    <xf numFmtId="0" fontId="3" fillId="2" borderId="1" xfId="0" applyFont="1" applyFill="1" applyBorder="1"/>
    <xf numFmtId="0" fontId="3" fillId="2" borderId="2" xfId="0" applyFont="1" applyFill="1" applyBorder="1"/>
    <xf numFmtId="38" fontId="10" fillId="0" borderId="1" xfId="0" applyNumberFormat="1" applyFont="1" applyBorder="1" applyAlignment="1">
      <alignment horizontal="center"/>
    </xf>
    <xf numFmtId="38" fontId="10" fillId="0" borderId="4" xfId="0" applyNumberFormat="1" applyFont="1" applyBorder="1" applyAlignment="1">
      <alignment horizontal="center"/>
    </xf>
    <xf numFmtId="38" fontId="10" fillId="0" borderId="6" xfId="0" applyNumberFormat="1" applyFont="1" applyBorder="1" applyAlignment="1">
      <alignment horizontal="center"/>
    </xf>
    <xf numFmtId="165" fontId="0" fillId="0" borderId="0" xfId="0" applyNumberFormat="1"/>
    <xf numFmtId="165" fontId="3" fillId="0" borderId="0" xfId="0" applyNumberFormat="1" applyFont="1"/>
    <xf numFmtId="164" fontId="0" fillId="6" borderId="0" xfId="1" applyNumberFormat="1" applyFont="1" applyFill="1" applyBorder="1"/>
    <xf numFmtId="164" fontId="0" fillId="6" borderId="0" xfId="0" applyNumberFormat="1" applyFill="1"/>
    <xf numFmtId="164" fontId="17" fillId="0" borderId="0" xfId="1" applyNumberFormat="1" applyFont="1" applyFill="1" applyBorder="1"/>
    <xf numFmtId="164" fontId="0" fillId="0" borderId="0" xfId="1" applyNumberFormat="1" applyFont="1" applyFill="1" applyBorder="1"/>
    <xf numFmtId="164" fontId="0" fillId="0" borderId="5" xfId="0" applyNumberFormat="1" applyBorder="1"/>
    <xf numFmtId="164" fontId="0" fillId="6" borderId="15" xfId="0" applyNumberFormat="1" applyFill="1" applyBorder="1"/>
    <xf numFmtId="164" fontId="3" fillId="6" borderId="15" xfId="1" applyNumberFormat="1" applyFont="1" applyFill="1" applyBorder="1"/>
    <xf numFmtId="0" fontId="0" fillId="0" borderId="27" xfId="0" applyBorder="1"/>
    <xf numFmtId="0" fontId="3" fillId="0" borderId="24" xfId="0" applyFont="1" applyBorder="1" applyAlignment="1">
      <alignment horizontal="center"/>
    </xf>
    <xf numFmtId="164" fontId="0" fillId="5" borderId="15" xfId="1" applyNumberFormat="1" applyFont="1" applyFill="1" applyBorder="1" applyAlignment="1" applyProtection="1">
      <alignment horizontal="center"/>
      <protection locked="0"/>
    </xf>
    <xf numFmtId="0" fontId="0" fillId="8" borderId="15" xfId="0" applyFill="1" applyBorder="1"/>
    <xf numFmtId="9" fontId="0" fillId="5" borderId="28" xfId="2" applyFont="1" applyFill="1" applyBorder="1" applyProtection="1">
      <protection locked="0"/>
    </xf>
    <xf numFmtId="164" fontId="0" fillId="5" borderId="28" xfId="1" applyNumberFormat="1" applyFont="1" applyFill="1" applyBorder="1" applyAlignment="1" applyProtection="1">
      <alignment horizontal="center"/>
      <protection locked="0"/>
    </xf>
    <xf numFmtId="0" fontId="0" fillId="8" borderId="18" xfId="0" applyFill="1" applyBorder="1"/>
    <xf numFmtId="164" fontId="0" fillId="5" borderId="18" xfId="1" applyNumberFormat="1" applyFont="1" applyFill="1" applyBorder="1" applyAlignment="1" applyProtection="1">
      <alignment horizontal="center"/>
      <protection locked="0"/>
    </xf>
    <xf numFmtId="9" fontId="0" fillId="5" borderId="22" xfId="2" applyFont="1" applyFill="1" applyBorder="1" applyProtection="1">
      <protection locked="0"/>
    </xf>
    <xf numFmtId="164" fontId="0" fillId="5" borderId="22" xfId="1" applyNumberFormat="1" applyFont="1" applyFill="1" applyBorder="1" applyAlignment="1" applyProtection="1">
      <alignment horizontal="center"/>
      <protection locked="0"/>
    </xf>
    <xf numFmtId="0" fontId="0" fillId="8" borderId="28" xfId="0" applyFill="1" applyBorder="1"/>
    <xf numFmtId="164" fontId="0" fillId="6" borderId="26" xfId="1" applyNumberFormat="1" applyFont="1" applyFill="1" applyBorder="1"/>
    <xf numFmtId="0" fontId="0" fillId="6" borderId="15" xfId="0" applyFill="1" applyBorder="1"/>
    <xf numFmtId="10" fontId="0" fillId="0" borderId="0" xfId="0" applyNumberFormat="1"/>
    <xf numFmtId="164" fontId="0" fillId="6" borderId="54" xfId="0" applyNumberFormat="1" applyFill="1" applyBorder="1"/>
    <xf numFmtId="164" fontId="3" fillId="6" borderId="17" xfId="0" applyNumberFormat="1" applyFont="1" applyFill="1" applyBorder="1"/>
    <xf numFmtId="0" fontId="0" fillId="5" borderId="55" xfId="0" applyFill="1" applyBorder="1" applyProtection="1">
      <protection locked="0"/>
    </xf>
    <xf numFmtId="0" fontId="0" fillId="6" borderId="52" xfId="0" applyFill="1" applyBorder="1"/>
    <xf numFmtId="0" fontId="3" fillId="6" borderId="56" xfId="0" applyFont="1" applyFill="1" applyBorder="1"/>
    <xf numFmtId="0" fontId="0" fillId="5" borderId="52" xfId="0" applyFill="1" applyBorder="1" applyProtection="1">
      <protection locked="0"/>
    </xf>
    <xf numFmtId="164" fontId="0" fillId="6" borderId="15" xfId="1" applyNumberFormat="1" applyFont="1" applyFill="1" applyBorder="1" applyProtection="1">
      <protection locked="0"/>
    </xf>
    <xf numFmtId="2" fontId="0" fillId="0" borderId="0" xfId="0" applyNumberFormat="1"/>
    <xf numFmtId="0" fontId="3" fillId="6" borderId="15" xfId="0" applyFont="1" applyFill="1" applyBorder="1"/>
    <xf numFmtId="0" fontId="0" fillId="6" borderId="0" xfId="0" applyFill="1"/>
    <xf numFmtId="43" fontId="2" fillId="12" borderId="0" xfId="1" applyFont="1" applyFill="1" applyBorder="1"/>
    <xf numFmtId="164" fontId="3" fillId="6" borderId="0" xfId="0" applyNumberFormat="1" applyFont="1" applyFill="1"/>
    <xf numFmtId="164" fontId="0" fillId="5" borderId="15" xfId="1" applyNumberFormat="1" applyFont="1" applyFill="1" applyBorder="1"/>
    <xf numFmtId="0" fontId="39" fillId="0" borderId="1" xfId="0" applyFont="1" applyBorder="1"/>
    <xf numFmtId="0" fontId="39" fillId="0" borderId="4" xfId="0" applyFont="1" applyBorder="1"/>
    <xf numFmtId="0" fontId="39" fillId="8" borderId="1" xfId="0" applyFont="1" applyFill="1" applyBorder="1"/>
    <xf numFmtId="0" fontId="0" fillId="8" borderId="2" xfId="0" applyFill="1" applyBorder="1"/>
    <xf numFmtId="0" fontId="3" fillId="0" borderId="15" xfId="0" applyFont="1" applyBorder="1" applyAlignment="1">
      <alignment horizontal="center"/>
    </xf>
    <xf numFmtId="0" fontId="0" fillId="8" borderId="4" xfId="0" applyFill="1" applyBorder="1"/>
    <xf numFmtId="0" fontId="17" fillId="0" borderId="15" xfId="0" applyFont="1" applyBorder="1" applyAlignment="1">
      <alignment horizontal="center"/>
    </xf>
    <xf numFmtId="0" fontId="3" fillId="0" borderId="22" xfId="0" applyFont="1" applyBorder="1" applyAlignment="1">
      <alignment horizontal="center"/>
    </xf>
    <xf numFmtId="0" fontId="3" fillId="0" borderId="41" xfId="0" applyFont="1" applyBorder="1"/>
    <xf numFmtId="0" fontId="3" fillId="0" borderId="42" xfId="0" applyFont="1" applyBorder="1"/>
    <xf numFmtId="0" fontId="3" fillId="0" borderId="28" xfId="0" applyFont="1" applyBorder="1" applyAlignment="1">
      <alignment horizontal="center"/>
    </xf>
    <xf numFmtId="0" fontId="3" fillId="0" borderId="29" xfId="0" applyFont="1" applyBorder="1" applyAlignment="1">
      <alignment horizontal="center"/>
    </xf>
    <xf numFmtId="0" fontId="3" fillId="0" borderId="17" xfId="0" applyFont="1" applyBorder="1" applyAlignment="1">
      <alignment horizontal="center"/>
    </xf>
    <xf numFmtId="0" fontId="0" fillId="5" borderId="21" xfId="0" applyFill="1" applyBorder="1" applyProtection="1">
      <protection locked="0"/>
    </xf>
    <xf numFmtId="164" fontId="17" fillId="5" borderId="15" xfId="1" applyNumberFormat="1" applyFont="1" applyFill="1" applyBorder="1"/>
    <xf numFmtId="49" fontId="0" fillId="5" borderId="52" xfId="0" applyNumberFormat="1" applyFill="1" applyBorder="1" applyProtection="1">
      <protection locked="0"/>
    </xf>
    <xf numFmtId="0" fontId="3" fillId="8" borderId="1" xfId="0" applyFont="1" applyFill="1" applyBorder="1"/>
    <xf numFmtId="0" fontId="3" fillId="6" borderId="29" xfId="0" applyFont="1" applyFill="1" applyBorder="1" applyAlignment="1">
      <alignment horizontal="center"/>
    </xf>
    <xf numFmtId="0" fontId="3" fillId="6" borderId="17" xfId="0" applyFont="1" applyFill="1" applyBorder="1" applyAlignment="1">
      <alignment horizontal="center"/>
    </xf>
    <xf numFmtId="0" fontId="0" fillId="4" borderId="44" xfId="0" applyFill="1" applyBorder="1"/>
    <xf numFmtId="0" fontId="0" fillId="0" borderId="44" xfId="0" applyBorder="1"/>
    <xf numFmtId="0" fontId="2" fillId="3" borderId="45" xfId="0" applyFont="1" applyFill="1" applyBorder="1"/>
    <xf numFmtId="0" fontId="0" fillId="0" borderId="43" xfId="0" applyBorder="1"/>
    <xf numFmtId="0" fontId="40" fillId="0" borderId="0" xfId="0" applyFont="1"/>
    <xf numFmtId="0" fontId="23" fillId="6" borderId="0" xfId="0" applyFont="1" applyFill="1" applyProtection="1">
      <protection locked="0"/>
    </xf>
    <xf numFmtId="9" fontId="9" fillId="6" borderId="0" xfId="2" applyFont="1" applyFill="1" applyBorder="1" applyProtection="1">
      <protection locked="0"/>
    </xf>
    <xf numFmtId="0" fontId="3" fillId="7" borderId="17" xfId="0" applyFont="1" applyFill="1" applyBorder="1" applyAlignment="1">
      <alignment horizontal="center"/>
    </xf>
    <xf numFmtId="0" fontId="3" fillId="7" borderId="15" xfId="0" applyFont="1" applyFill="1" applyBorder="1"/>
    <xf numFmtId="164" fontId="0" fillId="6" borderId="24" xfId="1" applyNumberFormat="1" applyFont="1" applyFill="1" applyBorder="1" applyAlignment="1" applyProtection="1">
      <alignment horizontal="center"/>
      <protection locked="0"/>
    </xf>
    <xf numFmtId="164" fontId="0" fillId="6" borderId="5" xfId="1" applyNumberFormat="1" applyFont="1" applyFill="1" applyBorder="1" applyAlignment="1" applyProtection="1">
      <alignment horizontal="center"/>
      <protection locked="0"/>
    </xf>
    <xf numFmtId="164" fontId="0" fillId="6" borderId="25" xfId="1" applyNumberFormat="1" applyFont="1" applyFill="1" applyBorder="1" applyAlignment="1" applyProtection="1">
      <alignment horizontal="center"/>
      <protection locked="0"/>
    </xf>
    <xf numFmtId="164" fontId="0" fillId="6" borderId="8" xfId="1" applyNumberFormat="1" applyFont="1" applyFill="1" applyBorder="1" applyAlignment="1" applyProtection="1">
      <alignment horizontal="center"/>
      <protection locked="0"/>
    </xf>
    <xf numFmtId="0" fontId="3" fillId="0" borderId="4" xfId="0" applyFont="1" applyBorder="1" applyAlignment="1">
      <alignment horizontal="left" vertical="center"/>
    </xf>
    <xf numFmtId="0" fontId="3" fillId="6" borderId="47" xfId="0" applyFont="1" applyFill="1" applyBorder="1"/>
    <xf numFmtId="164" fontId="0" fillId="6" borderId="22" xfId="0" applyNumberFormat="1" applyFill="1" applyBorder="1"/>
    <xf numFmtId="164" fontId="14" fillId="6" borderId="22" xfId="1" applyNumberFormat="1" applyFont="1" applyFill="1" applyBorder="1"/>
    <xf numFmtId="164" fontId="3" fillId="6" borderId="15" xfId="0" applyNumberFormat="1" applyFont="1" applyFill="1" applyBorder="1"/>
    <xf numFmtId="0" fontId="0" fillId="0" borderId="57" xfId="0" applyBorder="1"/>
    <xf numFmtId="164" fontId="0" fillId="0" borderId="15" xfId="1" applyNumberFormat="1" applyFont="1" applyFill="1" applyBorder="1"/>
    <xf numFmtId="0" fontId="41" fillId="0" borderId="0" xfId="0" applyFont="1"/>
    <xf numFmtId="0" fontId="42" fillId="0" borderId="0" xfId="3" applyFont="1"/>
    <xf numFmtId="0" fontId="43" fillId="0" borderId="0" xfId="0" applyFont="1" applyAlignment="1">
      <alignment horizontal="left" vertical="center"/>
    </xf>
    <xf numFmtId="0" fontId="44" fillId="0" borderId="0" xfId="0" applyFont="1" applyAlignment="1">
      <alignment horizontal="left" vertical="center"/>
    </xf>
    <xf numFmtId="0" fontId="0" fillId="6" borderId="9" xfId="0" applyFill="1" applyBorder="1"/>
    <xf numFmtId="164" fontId="1" fillId="6" borderId="15" xfId="1" applyNumberFormat="1" applyFont="1" applyFill="1" applyBorder="1"/>
    <xf numFmtId="0" fontId="17" fillId="0" borderId="24" xfId="0" applyFont="1" applyBorder="1" applyAlignment="1">
      <alignment horizontal="center"/>
    </xf>
    <xf numFmtId="0" fontId="3" fillId="0" borderId="7" xfId="0" applyFont="1" applyBorder="1" applyAlignment="1">
      <alignment horizontal="center"/>
    </xf>
    <xf numFmtId="0" fontId="45" fillId="0" borderId="0" xfId="0" applyFont="1"/>
    <xf numFmtId="0" fontId="45" fillId="0" borderId="0" xfId="0" applyFont="1" applyAlignment="1">
      <alignment horizontal="center"/>
    </xf>
    <xf numFmtId="0" fontId="46" fillId="0" borderId="0" xfId="0" applyFont="1"/>
    <xf numFmtId="0" fontId="46" fillId="0" borderId="0" xfId="0" applyFont="1" applyAlignment="1">
      <alignment horizontal="left"/>
    </xf>
    <xf numFmtId="0" fontId="46" fillId="0" borderId="0" xfId="0" applyFont="1" applyAlignment="1">
      <alignment horizontal="center"/>
    </xf>
    <xf numFmtId="0" fontId="46" fillId="0" borderId="4" xfId="0" applyFont="1" applyBorder="1" applyAlignment="1">
      <alignment horizontal="center" wrapText="1"/>
    </xf>
    <xf numFmtId="0" fontId="46" fillId="2" borderId="1" xfId="0" applyFont="1" applyFill="1" applyBorder="1" applyAlignment="1">
      <alignment vertical="center"/>
    </xf>
    <xf numFmtId="0" fontId="46" fillId="2" borderId="2" xfId="0" applyFont="1" applyFill="1" applyBorder="1" applyAlignment="1">
      <alignment horizontal="center"/>
    </xf>
    <xf numFmtId="0" fontId="46" fillId="2" borderId="1" xfId="0" applyFont="1" applyFill="1" applyBorder="1" applyAlignment="1">
      <alignment horizontal="center"/>
    </xf>
    <xf numFmtId="0" fontId="47" fillId="2" borderId="1" xfId="0" applyFont="1" applyFill="1" applyBorder="1" applyAlignment="1">
      <alignment vertical="center"/>
    </xf>
    <xf numFmtId="0" fontId="45" fillId="0" borderId="2" xfId="0" applyFont="1" applyBorder="1" applyAlignment="1">
      <alignment horizontal="center"/>
    </xf>
    <xf numFmtId="3" fontId="45" fillId="0" borderId="1" xfId="0" applyNumberFormat="1" applyFont="1" applyBorder="1" applyAlignment="1">
      <alignment horizontal="center"/>
    </xf>
    <xf numFmtId="0" fontId="47" fillId="2" borderId="4" xfId="0" applyFont="1" applyFill="1" applyBorder="1" applyAlignment="1">
      <alignment vertical="center"/>
    </xf>
    <xf numFmtId="3" fontId="45" fillId="0" borderId="4" xfId="0" applyNumberFormat="1" applyFont="1" applyBorder="1" applyAlignment="1">
      <alignment horizontal="center"/>
    </xf>
    <xf numFmtId="3" fontId="45" fillId="0" borderId="4" xfId="0" applyNumberFormat="1" applyFont="1" applyBorder="1" applyAlignment="1">
      <alignment horizontal="center" vertical="center"/>
    </xf>
    <xf numFmtId="38" fontId="45" fillId="0" borderId="4" xfId="0" applyNumberFormat="1" applyFont="1" applyBorder="1" applyAlignment="1">
      <alignment horizontal="center"/>
    </xf>
    <xf numFmtId="0" fontId="47" fillId="2" borderId="6" xfId="0" applyFont="1" applyFill="1" applyBorder="1" applyAlignment="1">
      <alignment vertical="center"/>
    </xf>
    <xf numFmtId="0" fontId="45" fillId="0" borderId="7" xfId="0" applyFont="1" applyBorder="1" applyAlignment="1">
      <alignment horizontal="center"/>
    </xf>
    <xf numFmtId="38" fontId="45" fillId="0" borderId="6" xfId="0" applyNumberFormat="1" applyFont="1" applyBorder="1" applyAlignment="1">
      <alignment horizontal="center"/>
    </xf>
    <xf numFmtId="38" fontId="45" fillId="0" borderId="4" xfId="1" applyNumberFormat="1" applyFont="1" applyBorder="1" applyAlignment="1">
      <alignment horizontal="center"/>
    </xf>
    <xf numFmtId="38" fontId="45" fillId="0" borderId="6" xfId="1" applyNumberFormat="1" applyFont="1" applyBorder="1" applyAlignment="1">
      <alignment horizontal="center"/>
    </xf>
    <xf numFmtId="0" fontId="45" fillId="0" borderId="6" xfId="0" applyFont="1" applyBorder="1" applyAlignment="1">
      <alignment horizontal="center"/>
    </xf>
    <xf numFmtId="0" fontId="45" fillId="0" borderId="4" xfId="0" applyFont="1" applyBorder="1"/>
    <xf numFmtId="0" fontId="45" fillId="0" borderId="6" xfId="0" applyFont="1" applyBorder="1"/>
    <xf numFmtId="0" fontId="45" fillId="0" borderId="7" xfId="0" applyFont="1" applyBorder="1"/>
    <xf numFmtId="164" fontId="0" fillId="0" borderId="15" xfId="0" applyNumberFormat="1" applyBorder="1"/>
    <xf numFmtId="0" fontId="3" fillId="7" borderId="53" xfId="0" applyFont="1" applyFill="1" applyBorder="1" applyAlignment="1">
      <alignment horizontal="center"/>
    </xf>
    <xf numFmtId="0" fontId="3" fillId="7" borderId="33" xfId="0" applyFont="1" applyFill="1" applyBorder="1" applyAlignment="1">
      <alignment horizontal="center"/>
    </xf>
    <xf numFmtId="0" fontId="3" fillId="7" borderId="58" xfId="0" applyFont="1" applyFill="1" applyBorder="1" applyAlignment="1">
      <alignment horizontal="center"/>
    </xf>
    <xf numFmtId="0" fontId="48" fillId="0" borderId="0" xfId="0" applyFont="1"/>
    <xf numFmtId="0" fontId="49" fillId="0" borderId="0" xfId="0" applyFont="1"/>
    <xf numFmtId="0" fontId="48" fillId="17" borderId="0" xfId="0" applyFont="1" applyFill="1" applyAlignment="1">
      <alignment horizontal="center"/>
    </xf>
    <xf numFmtId="0" fontId="48" fillId="0" borderId="0" xfId="0" applyFont="1" applyAlignment="1">
      <alignment horizontal="center"/>
    </xf>
    <xf numFmtId="0" fontId="48" fillId="18" borderId="59" xfId="0" applyFont="1" applyFill="1" applyBorder="1" applyAlignment="1">
      <alignment vertical="center"/>
    </xf>
    <xf numFmtId="0" fontId="48" fillId="0" borderId="60" xfId="0" applyFont="1" applyBorder="1" applyAlignment="1">
      <alignment horizontal="center"/>
    </xf>
    <xf numFmtId="0" fontId="48" fillId="17" borderId="60" xfId="0" applyFont="1" applyFill="1" applyBorder="1" applyAlignment="1">
      <alignment horizontal="center"/>
    </xf>
    <xf numFmtId="0" fontId="50" fillId="18" borderId="61" xfId="0" applyFont="1" applyFill="1" applyBorder="1" applyAlignment="1">
      <alignment vertical="center"/>
    </xf>
    <xf numFmtId="166" fontId="50" fillId="0" borderId="62" xfId="0" applyNumberFormat="1" applyFont="1" applyBorder="1" applyAlignment="1">
      <alignment horizontal="center"/>
    </xf>
    <xf numFmtId="166" fontId="51" fillId="17" borderId="63" xfId="0" applyNumberFormat="1" applyFont="1" applyFill="1" applyBorder="1"/>
    <xf numFmtId="166" fontId="50" fillId="0" borderId="63" xfId="0" applyNumberFormat="1" applyFont="1" applyBorder="1"/>
    <xf numFmtId="166" fontId="50" fillId="17" borderId="63" xfId="0" applyNumberFormat="1" applyFont="1" applyFill="1" applyBorder="1"/>
    <xf numFmtId="43" fontId="14" fillId="10" borderId="0" xfId="1" applyFont="1" applyFill="1" applyBorder="1"/>
    <xf numFmtId="166" fontId="50" fillId="20" borderId="64" xfId="0" applyNumberFormat="1" applyFont="1" applyFill="1" applyBorder="1"/>
    <xf numFmtId="0" fontId="52" fillId="0" borderId="0" xfId="0" applyFont="1"/>
    <xf numFmtId="0" fontId="0" fillId="0" borderId="0" xfId="0" applyProtection="1">
      <protection locked="0"/>
    </xf>
    <xf numFmtId="0" fontId="3" fillId="5" borderId="0" xfId="0" applyFont="1" applyFill="1" applyProtection="1">
      <protection locked="0"/>
    </xf>
    <xf numFmtId="0" fontId="0" fillId="19" borderId="0" xfId="0" applyFill="1" applyProtection="1">
      <protection locked="0"/>
    </xf>
    <xf numFmtId="0" fontId="3" fillId="0" borderId="0" xfId="0" applyFont="1" applyAlignment="1">
      <alignment horizontal="center" vertical="top" wrapText="1"/>
    </xf>
    <xf numFmtId="0" fontId="0" fillId="0" borderId="0" xfId="0" applyAlignment="1">
      <alignment horizontal="center" vertical="top" wrapText="1"/>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18" fillId="8" borderId="7" xfId="0" applyFont="1" applyFill="1" applyBorder="1" applyAlignment="1">
      <alignment horizontal="left"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53" xfId="0" applyFont="1" applyBorder="1" applyAlignment="1">
      <alignment horizontal="left" vertical="center"/>
    </xf>
    <xf numFmtId="0" fontId="39" fillId="0" borderId="0" xfId="0" applyFont="1" applyAlignment="1">
      <alignment horizontal="left"/>
    </xf>
    <xf numFmtId="0" fontId="39" fillId="10" borderId="0" xfId="0" applyFont="1" applyFill="1" applyAlignment="1">
      <alignment horizontal="left"/>
    </xf>
    <xf numFmtId="0" fontId="3" fillId="7" borderId="27"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50" fillId="0" borderId="0" xfId="0" applyFont="1" applyAlignment="1">
      <alignment horizontal="left" wrapText="1"/>
    </xf>
    <xf numFmtId="0" fontId="0" fillId="0" borderId="0" xfId="0"/>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22" xfId="0" applyBorder="1" applyAlignment="1">
      <alignment horizontal="left" vertical="center"/>
    </xf>
    <xf numFmtId="0" fontId="0" fillId="0" borderId="36" xfId="0" applyBorder="1" applyAlignment="1">
      <alignment horizontal="left" vertical="center"/>
    </xf>
    <xf numFmtId="0" fontId="0" fillId="0" borderId="33" xfId="0" applyBorder="1" applyAlignment="1">
      <alignment horizontal="left" vertical="center"/>
    </xf>
    <xf numFmtId="0" fontId="34" fillId="0" borderId="4" xfId="0" applyFont="1" applyBorder="1" applyAlignment="1">
      <alignment horizontal="left"/>
    </xf>
    <xf numFmtId="0" fontId="34" fillId="0" borderId="0" xfId="0" applyFont="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left" vertical="center" wrapText="1"/>
    </xf>
    <xf numFmtId="0" fontId="0" fillId="14" borderId="24" xfId="0" applyFill="1" applyBorder="1" applyAlignment="1">
      <alignment horizontal="left" vertical="center" wrapText="1"/>
    </xf>
    <xf numFmtId="0" fontId="0" fillId="14" borderId="25" xfId="0" applyFill="1" applyBorder="1" applyAlignment="1">
      <alignment horizontal="left" vertical="center" wrapText="1"/>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5" fillId="2" borderId="1" xfId="0" applyFont="1" applyFill="1" applyBorder="1" applyAlignment="1">
      <alignment horizontal="center"/>
    </xf>
    <xf numFmtId="0" fontId="25" fillId="2" borderId="2" xfId="0" applyFont="1" applyFill="1" applyBorder="1" applyAlignment="1">
      <alignment horizontal="center"/>
    </xf>
    <xf numFmtId="0" fontId="25" fillId="2" borderId="3" xfId="0" applyFont="1" applyFill="1" applyBorder="1" applyAlignment="1">
      <alignment horizontal="center"/>
    </xf>
  </cellXfs>
  <cellStyles count="5">
    <cellStyle name="Comma" xfId="1" builtinId="3"/>
    <cellStyle name="Comma 2" xfId="4" xr:uid="{D4507E56-F7AA-41E0-BC88-4C590C3091AF}"/>
    <cellStyle name="Hyperlink" xfId="3" builtinId="8"/>
    <cellStyle name="Normal" xfId="0" builtinId="0"/>
    <cellStyle name="Percent" xfId="2" builtinId="5"/>
  </cellStyles>
  <dxfs count="50">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ill>
        <patternFill patternType="solid">
          <fgColor theme="4" tint="0.79998168889431442"/>
          <bgColor theme="4" tint="0.79998168889431442"/>
        </patternFill>
      </fill>
      <alignment horizontal="left" vertical="bottom"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ill>
        <patternFill patternType="solid">
          <fgColor theme="4" tint="0.79998168889431442"/>
          <bgColor theme="4" tint="0.79998168889431442"/>
        </patternFill>
      </fill>
      <alignment horizontal="left" vertical="bottom" textRotation="0" wrapText="0" indent="0" justifyLastLine="0" shrinkToFit="0" readingOrder="0"/>
    </dxf>
    <dxf>
      <border outline="0">
        <left style="medium">
          <color indexed="64"/>
        </left>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numFmt numFmtId="13" formatCode="0%"/>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bottom/>
        <vertical/>
        <horizontal/>
      </border>
    </dxf>
    <dxf>
      <border outline="0">
        <top style="thin">
          <color theme="4" tint="0.39997558519241921"/>
        </top>
        <bottom style="medium">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bottom/>
        <vertical/>
        <horizontal/>
      </border>
    </dxf>
    <dxf>
      <border outline="0">
        <bottom style="medium">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fill>
        <patternFill patternType="solid">
          <fgColor indexed="64"/>
          <bgColor theme="0" tint="-4.9989318521683403E-2"/>
        </patternFill>
      </fill>
      <alignment horizontal="general" vertical="center" textRotation="0" wrapText="0" indent="0" justifyLastLine="0" shrinkToFit="0" readingOrder="0"/>
    </dxf>
    <dxf>
      <border outline="0">
        <left style="medium">
          <color indexed="64"/>
        </left>
      </border>
    </dxf>
    <dxf>
      <fill>
        <patternFill patternType="solid">
          <fgColor indexed="64"/>
          <bgColor theme="0" tint="-4.9989318521683403E-2"/>
        </patternFill>
      </fill>
      <alignment horizontal="general" vertical="center" textRotation="0" wrapText="0" indent="0" justifyLastLine="0" shrinkToFit="0" readingOrder="0"/>
    </dxf>
    <dxf>
      <fill>
        <patternFill patternType="solid">
          <fgColor indexed="64"/>
          <bgColor theme="0" tint="-4.9989318521683403E-2"/>
        </patternFill>
      </fill>
      <alignment horizontal="general" vertical="center"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41414</xdr:colOff>
      <xdr:row>0</xdr:row>
      <xdr:rowOff>47625</xdr:rowOff>
    </xdr:from>
    <xdr:to>
      <xdr:col>6</xdr:col>
      <xdr:colOff>530087</xdr:colOff>
      <xdr:row>4</xdr:row>
      <xdr:rowOff>39342</xdr:rowOff>
    </xdr:to>
    <xdr:pic>
      <xdr:nvPicPr>
        <xdr:cNvPr id="2" name="Picture 1">
          <a:extLst>
            <a:ext uri="{FF2B5EF4-FFF2-40B4-BE49-F238E27FC236}">
              <a16:creationId xmlns:a16="http://schemas.microsoft.com/office/drawing/2014/main" id="{84F5D004-EC2E-4274-84E5-FD9484642BDB}"/>
            </a:ext>
          </a:extLst>
        </xdr:cNvPr>
        <xdr:cNvPicPr>
          <a:picLocks noChangeAspect="1"/>
        </xdr:cNvPicPr>
      </xdr:nvPicPr>
      <xdr:blipFill>
        <a:blip xmlns:r="http://schemas.openxmlformats.org/officeDocument/2006/relationships" r:embed="rId1"/>
        <a:stretch>
          <a:fillRect/>
        </a:stretch>
      </xdr:blipFill>
      <xdr:spPr>
        <a:xfrm>
          <a:off x="41414" y="47625"/>
          <a:ext cx="4146273" cy="753717"/>
        </a:xfrm>
        <a:prstGeom prst="rect">
          <a:avLst/>
        </a:prstGeom>
      </xdr:spPr>
    </xdr:pic>
    <xdr:clientData/>
  </xdr:twoCellAnchor>
  <xdr:twoCellAnchor>
    <xdr:from>
      <xdr:col>0</xdr:col>
      <xdr:colOff>19050</xdr:colOff>
      <xdr:row>4</xdr:row>
      <xdr:rowOff>942976</xdr:rowOff>
    </xdr:from>
    <xdr:to>
      <xdr:col>6</xdr:col>
      <xdr:colOff>530087</xdr:colOff>
      <xdr:row>49</xdr:row>
      <xdr:rowOff>104776</xdr:rowOff>
    </xdr:to>
    <xdr:sp macro="" textlink="">
      <xdr:nvSpPr>
        <xdr:cNvPr id="4" name="TextBox 3">
          <a:extLst>
            <a:ext uri="{FF2B5EF4-FFF2-40B4-BE49-F238E27FC236}">
              <a16:creationId xmlns:a16="http://schemas.microsoft.com/office/drawing/2014/main" id="{9820D1F8-1993-4103-91CA-8D6DB1C7EF32}"/>
            </a:ext>
          </a:extLst>
        </xdr:cNvPr>
        <xdr:cNvSpPr txBox="1"/>
      </xdr:nvSpPr>
      <xdr:spPr>
        <a:xfrm>
          <a:off x="19050" y="1714501"/>
          <a:ext cx="4168637" cy="853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IE" sz="1100" b="1">
            <a:solidFill>
              <a:srgbClr val="FF0000"/>
            </a:solidFill>
          </a:endParaRPr>
        </a:p>
        <a:p>
          <a:pPr algn="ctr"/>
          <a:r>
            <a:rPr lang="en-IE" sz="1100" b="1">
              <a:solidFill>
                <a:sysClr val="windowText" lastClr="000000"/>
              </a:solidFill>
            </a:rPr>
            <a:t>NOTE: </a:t>
          </a:r>
        </a:p>
        <a:p>
          <a:pPr algn="ctr"/>
          <a:r>
            <a:rPr lang="en-IE" sz="1100" b="1" baseline="0">
              <a:solidFill>
                <a:schemeClr val="tx1"/>
              </a:solidFill>
            </a:rPr>
            <a:t>This Budget Template </a:t>
          </a:r>
          <a:r>
            <a:rPr lang="en-IE" sz="1100" b="1" u="sng" baseline="0">
              <a:solidFill>
                <a:srgbClr val="FF0000"/>
              </a:solidFill>
            </a:rPr>
            <a:t>AND</a:t>
          </a:r>
          <a:r>
            <a:rPr lang="en-IE" sz="1100" b="1" u="sng" baseline="0">
              <a:solidFill>
                <a:schemeClr val="tx1"/>
              </a:solidFill>
            </a:rPr>
            <a:t> </a:t>
          </a:r>
          <a:r>
            <a:rPr lang="en-IE" sz="1100" b="1" u="none" baseline="0">
              <a:solidFill>
                <a:schemeClr val="tx1"/>
              </a:solidFill>
            </a:rPr>
            <a:t> your </a:t>
          </a:r>
          <a:r>
            <a:rPr lang="en-IE" sz="1100" b="1" baseline="0">
              <a:solidFill>
                <a:schemeClr val="tx1"/>
              </a:solidFill>
            </a:rPr>
            <a:t>Justification Text should be sent for review via RMS Profiles</a:t>
          </a:r>
          <a:endParaRPr lang="en-IE" sz="1100" b="0" i="0">
            <a:solidFill>
              <a:schemeClr val="dk1"/>
            </a:solidFill>
            <a:effectLst/>
            <a:latin typeface="+mn-lt"/>
            <a:ea typeface="+mn-ea"/>
            <a:cs typeface="+mn-cs"/>
          </a:endParaRPr>
        </a:p>
        <a:p>
          <a:pPr algn="ctr"/>
          <a:endParaRPr lang="en-IE" sz="1100" b="0" i="0">
            <a:solidFill>
              <a:schemeClr val="dk1"/>
            </a:solidFill>
            <a:effectLst/>
            <a:latin typeface="+mn-lt"/>
            <a:ea typeface="+mn-ea"/>
            <a:cs typeface="+mn-cs"/>
          </a:endParaRPr>
        </a:p>
        <a:p>
          <a:pPr algn="ctr"/>
          <a:r>
            <a:rPr lang="en-IE" sz="1100" b="1">
              <a:solidFill>
                <a:sysClr val="windowText" lastClr="000000"/>
              </a:solidFill>
            </a:rPr>
            <a:t>Instructions for completing template </a:t>
          </a:r>
        </a:p>
        <a:p>
          <a:pPr algn="ctr"/>
          <a:endParaRPr lang="en-IE" sz="1100" b="0">
            <a:solidFill>
              <a:sysClr val="windowText" lastClr="000000"/>
            </a:solidFill>
          </a:endParaRPr>
        </a:p>
        <a:p>
          <a:pPr algn="l"/>
          <a:r>
            <a:rPr lang="en-IE" sz="1100" b="0">
              <a:solidFill>
                <a:sysClr val="windowText" lastClr="000000"/>
              </a:solidFill>
            </a:rPr>
            <a:t>This</a:t>
          </a:r>
          <a:r>
            <a:rPr lang="en-IE" sz="1100" b="0" baseline="0">
              <a:solidFill>
                <a:sysClr val="windowText" lastClr="000000"/>
              </a:solidFill>
            </a:rPr>
            <a:t> budget template includes 6 steps. Each step has its own worksheet, highlighted in </a:t>
          </a:r>
          <a:r>
            <a:rPr lang="en-IE" sz="1100" b="1" baseline="0">
              <a:solidFill>
                <a:srgbClr val="00B050"/>
              </a:solidFill>
            </a:rPr>
            <a:t>green</a:t>
          </a:r>
          <a:r>
            <a:rPr lang="en-IE" sz="1100" b="0" baseline="0">
              <a:solidFill>
                <a:sysClr val="windowText" lastClr="000000"/>
              </a:solidFill>
            </a:rPr>
            <a:t> below. Please complete steps that are relevant to your application and ignore steps that are not.</a:t>
          </a:r>
        </a:p>
        <a:p>
          <a:pPr algn="l"/>
          <a:endParaRPr lang="en-IE" sz="1100" b="0" baseline="0">
            <a:solidFill>
              <a:sysClr val="windowText" lastClr="000000"/>
            </a:solidFill>
          </a:endParaRPr>
        </a:p>
        <a:p>
          <a:pPr algn="l"/>
          <a:r>
            <a:rPr lang="en-IE" sz="1100" b="0" baseline="0">
              <a:solidFill>
                <a:sysClr val="windowText" lastClr="000000"/>
              </a:solidFill>
            </a:rPr>
            <a:t>The Project Budget worksheet, highlighted in </a:t>
          </a:r>
          <a:r>
            <a:rPr lang="en-IE" sz="1100" b="1" baseline="0">
              <a:solidFill>
                <a:srgbClr val="FF0000"/>
              </a:solidFill>
            </a:rPr>
            <a:t>red</a:t>
          </a:r>
          <a:r>
            <a:rPr lang="en-IE" sz="1100" b="0" baseline="0">
              <a:solidFill>
                <a:sysClr val="windowText" lastClr="000000"/>
              </a:solidFill>
            </a:rPr>
            <a:t> below, is automatically populated with the information you provide in each step. The Project Budget template matches the template used by the HRB which you will need to submit in their online portal ("GEMS") as part of the application process.</a:t>
          </a:r>
        </a:p>
        <a:p>
          <a:pPr algn="l"/>
          <a:endParaRPr lang="en-IE" sz="1100" b="0" baseline="0">
            <a:solidFill>
              <a:sysClr val="windowText" lastClr="000000"/>
            </a:solidFill>
          </a:endParaRPr>
        </a:p>
        <a:p>
          <a:pPr algn="l"/>
          <a:r>
            <a:rPr lang="en-IE" sz="1100" b="0" baseline="0">
              <a:solidFill>
                <a:sysClr val="windowText" lastClr="000000"/>
              </a:solidFill>
            </a:rPr>
            <a:t>Please note that "Year 1" throughout this document means the year 2024/2025.   For simplicity, budgets are based on estimated project start dates of 1st Oct 2024, to reflect both likely lead times around the application and award process and also the HRB's requirement that salary costs reflect a 3% per annum projected increase w.e.f 1st Oct each year over the lifetime of the project.</a:t>
          </a:r>
        </a:p>
        <a:p>
          <a:pPr algn="l"/>
          <a:endParaRPr lang="en-IE" sz="1100" b="0" baseline="0">
            <a:solidFill>
              <a:sysClr val="windowText" lastClr="000000"/>
            </a:solidFill>
          </a:endParaRPr>
        </a:p>
        <a:p>
          <a:pPr algn="l"/>
          <a:endParaRPr lang="en-IE" sz="1100" b="0" baseline="0">
            <a:solidFill>
              <a:sysClr val="windowText" lastClr="000000"/>
            </a:solidFill>
          </a:endParaRPr>
        </a:p>
        <a:p>
          <a:pPr algn="l"/>
          <a:r>
            <a:rPr lang="en-IE" sz="1100" b="0" baseline="0">
              <a:solidFill>
                <a:sysClr val="windowText" lastClr="000000"/>
              </a:solidFill>
            </a:rPr>
            <a:t>We have included some comments below on the steps that are likely relevant to all applicants.</a:t>
          </a:r>
        </a:p>
        <a:p>
          <a:pPr algn="l"/>
          <a:endParaRPr lang="en-IE" sz="1100" b="0" baseline="0">
            <a:solidFill>
              <a:sysClr val="windowText" lastClr="000000"/>
            </a:solidFill>
          </a:endParaRPr>
        </a:p>
        <a:p>
          <a:pPr algn="l"/>
          <a:r>
            <a:rPr lang="en-IE" sz="1100" b="1" baseline="0">
              <a:solidFill>
                <a:sysClr val="windowText" lastClr="000000"/>
              </a:solidFill>
            </a:rPr>
            <a:t>Staff costs</a:t>
          </a:r>
          <a:r>
            <a:rPr lang="en-IE" sz="1100" b="0" baseline="0">
              <a:solidFill>
                <a:sysClr val="windowText" lastClr="000000"/>
              </a:solidFill>
            </a:rPr>
            <a:t> will be included in all applications. Please see breackdown of types of payroll costs relevant to this call in Step 1. You will need to select the staff type and grade required for your project from the drop down menus we have provided.  Upon selection, this template will then automatically calculate the cost of that staff member inclusive of gross salary, pension contribution (if applicable) and employer PRSI. </a:t>
          </a:r>
        </a:p>
        <a:p>
          <a:pPr algn="l"/>
          <a:endParaRPr lang="en-IE" sz="1100" b="0" baseline="0">
            <a:solidFill>
              <a:sysClr val="windowText" lastClr="000000"/>
            </a:solidFill>
          </a:endParaRPr>
        </a:p>
        <a:p>
          <a:pPr algn="l"/>
          <a:r>
            <a:rPr lang="en-IE" sz="1100" b="1" baseline="0">
              <a:solidFill>
                <a:sysClr val="windowText" lastClr="000000"/>
              </a:solidFill>
            </a:rPr>
            <a:t>Step 2 to 6 relate to the various types of non pay cost categories applicable to the ILP call</a:t>
          </a:r>
        </a:p>
        <a:p>
          <a:pPr algn="l"/>
          <a:endParaRPr lang="en-IE" sz="1100" b="0" baseline="0">
            <a:solidFill>
              <a:sysClr val="windowText" lastClr="000000"/>
            </a:solidFill>
          </a:endParaRPr>
        </a:p>
        <a:p>
          <a:pPr algn="l"/>
          <a:endParaRPr lang="en-IE" sz="1100" b="0" baseline="0">
            <a:solidFill>
              <a:sysClr val="windowText" lastClr="000000"/>
            </a:solidFill>
          </a:endParaRPr>
        </a:p>
        <a:p>
          <a:pPr algn="l"/>
          <a:r>
            <a:rPr lang="en-IE" sz="1100" b="1" baseline="0">
              <a:solidFill>
                <a:sysClr val="windowText" lastClr="000000"/>
              </a:solidFill>
            </a:rPr>
            <a:t>Step 7, Justification Text, </a:t>
          </a:r>
          <a:r>
            <a:rPr lang="en-IE" sz="1100" b="0" baseline="0">
              <a:solidFill>
                <a:sysClr val="windowText" lastClr="000000"/>
              </a:solidFill>
            </a:rPr>
            <a:t>this is relevant to all applications. We have included SFI Guidance in Step 5 to help you prepare your justification text. This justification text must be submitted to us in WORD format along with this tempalte - we cannot review your budget without it. </a:t>
          </a:r>
        </a:p>
        <a:p>
          <a:pPr algn="l"/>
          <a:endParaRPr lang="en-IE" sz="1100" b="0" baseline="0">
            <a:solidFill>
              <a:sysClr val="windowText" lastClr="000000"/>
            </a:solidFill>
          </a:endParaRPr>
        </a:p>
        <a:p>
          <a:pPr algn="l"/>
          <a:r>
            <a:rPr lang="en-IE" sz="1100" b="0" baseline="0">
              <a:solidFill>
                <a:sysClr val="windowText" lastClr="000000"/>
              </a:solidFill>
            </a:rPr>
            <a:t>Finally, each step includes the relevant guidance from the call document for yout information. </a:t>
          </a:r>
          <a:endParaRPr lang="en-IE" sz="1100" b="1" baseline="0">
            <a:solidFill>
              <a:sysClr val="windowText" lastClr="000000"/>
            </a:solidFill>
          </a:endParaRPr>
        </a:p>
        <a:p>
          <a:pPr algn="l"/>
          <a:endParaRPr lang="en-I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IE">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38</xdr:row>
      <xdr:rowOff>89645</xdr:rowOff>
    </xdr:from>
    <xdr:to>
      <xdr:col>2</xdr:col>
      <xdr:colOff>916080</xdr:colOff>
      <xdr:row>57</xdr:row>
      <xdr:rowOff>139734</xdr:rowOff>
    </xdr:to>
    <xdr:pic>
      <xdr:nvPicPr>
        <xdr:cNvPr id="4" name="Picture 3">
          <a:extLst>
            <a:ext uri="{FF2B5EF4-FFF2-40B4-BE49-F238E27FC236}">
              <a16:creationId xmlns:a16="http://schemas.microsoft.com/office/drawing/2014/main" id="{D5D17838-7BC9-4B84-9368-E56759A2605C}"/>
            </a:ext>
          </a:extLst>
        </xdr:cNvPr>
        <xdr:cNvPicPr>
          <a:picLocks noChangeAspect="1"/>
        </xdr:cNvPicPr>
      </xdr:nvPicPr>
      <xdr:blipFill>
        <a:blip xmlns:r="http://schemas.openxmlformats.org/officeDocument/2006/relationships" r:embed="rId1"/>
        <a:stretch>
          <a:fillRect/>
        </a:stretch>
      </xdr:blipFill>
      <xdr:spPr>
        <a:xfrm>
          <a:off x="22412" y="15329645"/>
          <a:ext cx="6408643" cy="3669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66</xdr:row>
      <xdr:rowOff>190501</xdr:rowOff>
    </xdr:from>
    <xdr:to>
      <xdr:col>0</xdr:col>
      <xdr:colOff>2767853</xdr:colOff>
      <xdr:row>91</xdr:row>
      <xdr:rowOff>156882</xdr:rowOff>
    </xdr:to>
    <xdr:sp macro="" textlink="">
      <xdr:nvSpPr>
        <xdr:cNvPr id="4" name="TextBox 3">
          <a:extLst>
            <a:ext uri="{FF2B5EF4-FFF2-40B4-BE49-F238E27FC236}">
              <a16:creationId xmlns:a16="http://schemas.microsoft.com/office/drawing/2014/main" id="{78C1667D-0DED-427F-854B-87007B746959}"/>
            </a:ext>
          </a:extLst>
        </xdr:cNvPr>
        <xdr:cNvSpPr txBox="1"/>
      </xdr:nvSpPr>
      <xdr:spPr>
        <a:xfrm>
          <a:off x="0" y="6084795"/>
          <a:ext cx="2767853" cy="3910852"/>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in this spreadsheet is that all team members work full-time for 4 years. However, as an example, you may have a research assistant working only in years 1-3 at 50% FTE. In this case, you should have "0" months in Year 4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91</xdr:row>
      <xdr:rowOff>179294</xdr:rowOff>
    </xdr:from>
    <xdr:to>
      <xdr:col>0</xdr:col>
      <xdr:colOff>2767853</xdr:colOff>
      <xdr:row>93</xdr:row>
      <xdr:rowOff>168087</xdr:rowOff>
    </xdr:to>
    <xdr:sp macro="" textlink="">
      <xdr:nvSpPr>
        <xdr:cNvPr id="6" name="TextBox 5">
          <a:hlinkClick xmlns:r="http://schemas.openxmlformats.org/officeDocument/2006/relationships" r:id="rId1"/>
          <a:extLst>
            <a:ext uri="{FF2B5EF4-FFF2-40B4-BE49-F238E27FC236}">
              <a16:creationId xmlns:a16="http://schemas.microsoft.com/office/drawing/2014/main" id="{600977A3-1580-4A48-B0B9-ED2DA204DA92}"/>
            </a:ext>
          </a:extLst>
        </xdr:cNvPr>
        <xdr:cNvSpPr txBox="1"/>
      </xdr:nvSpPr>
      <xdr:spPr>
        <a:xfrm>
          <a:off x="0" y="10018059"/>
          <a:ext cx="2767853" cy="36979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1</xdr:col>
      <xdr:colOff>28574</xdr:colOff>
      <xdr:row>85</xdr:row>
      <xdr:rowOff>38099</xdr:rowOff>
    </xdr:from>
    <xdr:ext cx="7610475" cy="1724026"/>
    <xdr:sp macro="" textlink="">
      <xdr:nvSpPr>
        <xdr:cNvPr id="3" name="TextBox 2">
          <a:extLst>
            <a:ext uri="{FF2B5EF4-FFF2-40B4-BE49-F238E27FC236}">
              <a16:creationId xmlns:a16="http://schemas.microsoft.com/office/drawing/2014/main" id="{EE9318E8-B9F0-AB7F-CCA8-3C4300799F96}"/>
            </a:ext>
          </a:extLst>
        </xdr:cNvPr>
        <xdr:cNvSpPr txBox="1"/>
      </xdr:nvSpPr>
      <xdr:spPr>
        <a:xfrm>
          <a:off x="2828924" y="8134349"/>
          <a:ext cx="7610475"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Researcher</a:t>
          </a:r>
          <a:r>
            <a:rPr lang="en-IE" sz="1100" baseline="0"/>
            <a:t> salary costs are based on October-2023 rates with a 3% inflation provision made every year. </a:t>
          </a:r>
        </a:p>
        <a:p>
          <a:r>
            <a:rPr lang="en-IE" sz="1100" baseline="0"/>
            <a:t>Researcher salary automatically jumps one point on scale in every year i.e., begining in Year 1 at point 1, ends in Year 5 at point 5.</a:t>
          </a:r>
        </a:p>
        <a:p>
          <a:r>
            <a:rPr lang="en-IE" sz="1100" baseline="0"/>
            <a:t>College graduate fees are based on UCD's published 2022 rates with a 4% increase provision made every year.</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42</xdr:row>
      <xdr:rowOff>190501</xdr:rowOff>
    </xdr:from>
    <xdr:to>
      <xdr:col>0</xdr:col>
      <xdr:colOff>2767853</xdr:colOff>
      <xdr:row>57</xdr:row>
      <xdr:rowOff>156882</xdr:rowOff>
    </xdr:to>
    <xdr:sp macro="" textlink="">
      <xdr:nvSpPr>
        <xdr:cNvPr id="2" name="TextBox 1">
          <a:extLst>
            <a:ext uri="{FF2B5EF4-FFF2-40B4-BE49-F238E27FC236}">
              <a16:creationId xmlns:a16="http://schemas.microsoft.com/office/drawing/2014/main" id="{5AAE7CAB-6C61-40DF-AA07-462CD43136D8}"/>
            </a:ext>
          </a:extLst>
        </xdr:cNvPr>
        <xdr:cNvSpPr txBox="1"/>
      </xdr:nvSpPr>
      <xdr:spPr>
        <a:xfrm>
          <a:off x="0" y="3333751"/>
          <a:ext cx="2767853" cy="3509681"/>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in this template is that all team members work full-time for 5 years. However, as an example, you may have a research assistant working only in years 1-3 at 50% FTE. In this case, you should have "0" months in Year 4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57</xdr:row>
      <xdr:rowOff>179294</xdr:rowOff>
    </xdr:from>
    <xdr:to>
      <xdr:col>0</xdr:col>
      <xdr:colOff>2767853</xdr:colOff>
      <xdr:row>59</xdr:row>
      <xdr:rowOff>168087</xdr:rowOff>
    </xdr:to>
    <xdr:sp macro="" textlink="">
      <xdr:nvSpPr>
        <xdr:cNvPr id="3" name="TextBox 2">
          <a:hlinkClick xmlns:r="http://schemas.openxmlformats.org/officeDocument/2006/relationships" r:id="rId1"/>
          <a:extLst>
            <a:ext uri="{FF2B5EF4-FFF2-40B4-BE49-F238E27FC236}">
              <a16:creationId xmlns:a16="http://schemas.microsoft.com/office/drawing/2014/main" id="{7B1125D7-6EA5-4650-AC89-C729E55C6F63}"/>
            </a:ext>
          </a:extLst>
        </xdr:cNvPr>
        <xdr:cNvSpPr txBox="1"/>
      </xdr:nvSpPr>
      <xdr:spPr>
        <a:xfrm>
          <a:off x="0" y="6865844"/>
          <a:ext cx="2767853" cy="35074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1</xdr:col>
      <xdr:colOff>28575</xdr:colOff>
      <xdr:row>51</xdr:row>
      <xdr:rowOff>38099</xdr:rowOff>
    </xdr:from>
    <xdr:ext cx="7486650" cy="1724026"/>
    <xdr:sp macro="" textlink="">
      <xdr:nvSpPr>
        <xdr:cNvPr id="5" name="TextBox 4">
          <a:extLst>
            <a:ext uri="{FF2B5EF4-FFF2-40B4-BE49-F238E27FC236}">
              <a16:creationId xmlns:a16="http://schemas.microsoft.com/office/drawing/2014/main" id="{8F03664F-52BA-48A2-91C2-C03E5CC10621}"/>
            </a:ext>
          </a:extLst>
        </xdr:cNvPr>
        <xdr:cNvSpPr txBox="1"/>
      </xdr:nvSpPr>
      <xdr:spPr>
        <a:xfrm>
          <a:off x="2828925" y="5067299"/>
          <a:ext cx="7486650"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Base rates adjusted to include a </a:t>
          </a:r>
          <a:r>
            <a:rPr lang="en-IE" sz="1100" baseline="0"/>
            <a:t>3% inflation provision made every year. </a:t>
          </a:r>
        </a:p>
        <a:p>
          <a:r>
            <a:rPr lang="en-IE" sz="1100" baseline="0"/>
            <a:t>Salary automatically jumps one point on scale in every year i.e., begining in Year 1 at point 1, ends in Year 5 at point 5.</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47623</xdr:rowOff>
    </xdr:from>
    <xdr:to>
      <xdr:col>10</xdr:col>
      <xdr:colOff>47625</xdr:colOff>
      <xdr:row>43</xdr:row>
      <xdr:rowOff>123824</xdr:rowOff>
    </xdr:to>
    <xdr:sp macro="" textlink="">
      <xdr:nvSpPr>
        <xdr:cNvPr id="2" name="TextBox 1">
          <a:extLst>
            <a:ext uri="{FF2B5EF4-FFF2-40B4-BE49-F238E27FC236}">
              <a16:creationId xmlns:a16="http://schemas.microsoft.com/office/drawing/2014/main" id="{2BA68AE0-13ED-4282-9F85-D93FA59981AF}"/>
            </a:ext>
          </a:extLst>
        </xdr:cNvPr>
        <xdr:cNvSpPr txBox="1"/>
      </xdr:nvSpPr>
      <xdr:spPr>
        <a:xfrm>
          <a:off x="0" y="3800473"/>
          <a:ext cx="10563225" cy="2933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IE" sz="1400" b="1"/>
            <a:t>Running</a:t>
          </a:r>
          <a:r>
            <a:rPr lang="en-IE" sz="1400" b="1" baseline="0"/>
            <a:t> Costs - </a:t>
          </a:r>
          <a:r>
            <a:rPr lang="en-IE" sz="1400" b="1"/>
            <a:t>HRB</a:t>
          </a:r>
          <a:r>
            <a:rPr lang="en-IE" sz="1400" b="1" baseline="0"/>
            <a:t> guidance (extract from call document). </a:t>
          </a:r>
        </a:p>
        <a:p>
          <a:r>
            <a:rPr lang="en-IE" sz="1400" b="0" i="1" u="none" strike="noStrike" baseline="0">
              <a:solidFill>
                <a:schemeClr val="dk1"/>
              </a:solidFill>
              <a:latin typeface="+mn-lt"/>
              <a:ea typeface="+mn-ea"/>
              <a:cs typeface="+mn-cs"/>
            </a:rPr>
            <a:t>"For all costs required to carry out the research including materials and consumables, survey costs, travel for participants, transcription costs, data access costs etc. </a:t>
          </a:r>
        </a:p>
        <a:p>
          <a:r>
            <a:rPr lang="en-IE" sz="1400" b="0" i="1" u="none" strike="noStrike" baseline="0">
              <a:solidFill>
                <a:schemeClr val="dk1"/>
              </a:solidFill>
              <a:latin typeface="+mn-lt"/>
              <a:ea typeface="+mn-ea"/>
              <a:cs typeface="+mn-cs"/>
            </a:rPr>
            <a:t>Maintenance costs of animals are allowed for pre-clinical animal models only.</a:t>
          </a:r>
        </a:p>
        <a:p>
          <a:r>
            <a:rPr lang="en-IE" sz="1400" b="0" i="1" u="none" strike="noStrike" baseline="0">
              <a:solidFill>
                <a:schemeClr val="dk1"/>
              </a:solidFill>
              <a:latin typeface="+mn-lt"/>
              <a:ea typeface="+mn-ea"/>
              <a:cs typeface="+mn-cs"/>
            </a:rPr>
            <a:t>Access to necessary special facilities or services which are not available in the host academic or clinical institutions. i.e., consultancy fees, methodological support, Clinical Research Facilities support, MRI facilities etc. will be considered under running costs as long as they are detailed in an accompanying ‘Infrastructure Agreement Form’. </a:t>
          </a:r>
        </a:p>
        <a:p>
          <a:r>
            <a:rPr lang="en-IE" sz="1400" b="0" i="1" u="none" strike="noStrike" baseline="0">
              <a:solidFill>
                <a:schemeClr val="dk1"/>
              </a:solidFill>
              <a:latin typeface="+mn-lt"/>
              <a:ea typeface="+mn-ea"/>
              <a:cs typeface="+mn-cs"/>
            </a:rPr>
            <a:t>The following costs are ineligible and will not be funded: training courses/workshops, inflationary increases, cost of electronic journals."</a:t>
          </a:r>
        </a:p>
        <a:p>
          <a:r>
            <a:rPr lang="en-IE" sz="1400" b="0" i="1" u="none" strike="noStrike" baseline="0">
              <a:solidFill>
                <a:schemeClr val="dk1"/>
              </a:solidFill>
              <a:latin typeface="+mn-lt"/>
              <a:ea typeface="+mn-ea"/>
              <a:cs typeface="+mn-cs"/>
            </a:rPr>
            <a:t> 	</a:t>
          </a:r>
        </a:p>
        <a:p>
          <a:pPr eaLnBrk="1" fontAlgn="auto" latinLnBrk="0" hangingPunct="1"/>
          <a:endParaRPr lang="en-IE" b="1" baseline="0"/>
        </a:p>
        <a:p>
          <a:pPr eaLnBrk="1" fontAlgn="auto" latinLnBrk="0" hangingPunct="1"/>
          <a:endParaRPr lang="en-IE" b="1" baseline="0"/>
        </a:p>
        <a:p>
          <a:pPr marL="0" marR="0" lvl="0" indent="0" defTabSz="914400" eaLnBrk="1" fontAlgn="auto" latinLnBrk="0" hangingPunct="1">
            <a:lnSpc>
              <a:spcPct val="100000"/>
            </a:lnSpc>
            <a:spcBef>
              <a:spcPts val="0"/>
            </a:spcBef>
            <a:spcAft>
              <a:spcPts val="0"/>
            </a:spcAft>
            <a:buClrTx/>
            <a:buSzTx/>
            <a:buFontTx/>
            <a:buNone/>
            <a:tabLst/>
            <a:defRPr/>
          </a:pPr>
          <a:r>
            <a:rPr lang="en-IE" sz="1100" b="1" i="1" u="none" strike="noStrike" baseline="0">
              <a:solidFill>
                <a:schemeClr val="dk1"/>
              </a:solidFill>
              <a:latin typeface="+mn-lt"/>
              <a:ea typeface="+mn-ea"/>
              <a:cs typeface="+mn-cs"/>
            </a:rPr>
            <a:t>"Note: </a:t>
          </a:r>
          <a:r>
            <a:rPr lang="en-IE" sz="1100" b="0" i="1" u="none" strike="noStrike" baseline="0">
              <a:solidFill>
                <a:schemeClr val="dk1"/>
              </a:solidFill>
              <a:latin typeface="+mn-lt"/>
              <a:ea typeface="+mn-ea"/>
              <a:cs typeface="+mn-cs"/>
            </a:rPr>
            <a:t>Please see a list of costs that fall within the overhead contribution below and which should </a:t>
          </a:r>
          <a:r>
            <a:rPr lang="en-IE" sz="1100" b="1" i="1" u="sng" strike="noStrike" baseline="0">
              <a:solidFill>
                <a:schemeClr val="dk1"/>
              </a:solidFill>
              <a:latin typeface="+mn-lt"/>
              <a:ea typeface="+mn-ea"/>
              <a:cs typeface="+mn-cs"/>
            </a:rPr>
            <a:t>not</a:t>
          </a:r>
          <a:r>
            <a:rPr lang="en-IE" sz="1100" b="0" i="1" u="none" strike="noStrike" baseline="0">
              <a:solidFill>
                <a:schemeClr val="dk1"/>
              </a:solidFill>
              <a:latin typeface="+mn-lt"/>
              <a:ea typeface="+mn-ea"/>
              <a:cs typeface="+mn-cs"/>
            </a:rPr>
            <a:t> be listed under running costs. 	</a:t>
          </a:r>
        </a:p>
        <a:p>
          <a:pPr eaLnBrk="1" fontAlgn="auto" latinLnBrk="0" hangingPunct="1"/>
          <a:r>
            <a:rPr lang="en-IE" sz="1100" b="0" i="1" u="none" strike="noStrike" baseline="0">
              <a:solidFill>
                <a:schemeClr val="dk1"/>
              </a:solidFill>
              <a:latin typeface="+mn-lt"/>
              <a:ea typeface="+mn-ea"/>
              <a:cs typeface="+mn-cs"/>
            </a:rPr>
            <a:t>"The following items are included in the overhead contribution: recruitment costs, bench fees, office space, software, contribution to gases, bacteriological media preparation fees, waste fees, bioinformatics access. Therefore, these should not be included in the budget as direct costs." </a:t>
          </a:r>
          <a:endParaRPr lang="en-IE" b="1" i="1"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190498</xdr:rowOff>
    </xdr:from>
    <xdr:to>
      <xdr:col>10</xdr:col>
      <xdr:colOff>9524</xdr:colOff>
      <xdr:row>47</xdr:row>
      <xdr:rowOff>114299</xdr:rowOff>
    </xdr:to>
    <xdr:sp macro="" textlink="">
      <xdr:nvSpPr>
        <xdr:cNvPr id="2" name="TextBox 1">
          <a:extLst>
            <a:ext uri="{FF2B5EF4-FFF2-40B4-BE49-F238E27FC236}">
              <a16:creationId xmlns:a16="http://schemas.microsoft.com/office/drawing/2014/main" id="{B26FA388-0145-4900-B111-AF723F9749F2}"/>
            </a:ext>
          </a:extLst>
        </xdr:cNvPr>
        <xdr:cNvSpPr txBox="1"/>
      </xdr:nvSpPr>
      <xdr:spPr>
        <a:xfrm>
          <a:off x="0" y="5153023"/>
          <a:ext cx="10325099" cy="3352801"/>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500" b="1" i="0" u="none" strike="noStrike" baseline="0">
              <a:solidFill>
                <a:schemeClr val="dk1"/>
              </a:solidFill>
              <a:latin typeface="+mn-lt"/>
              <a:ea typeface="+mn-ea"/>
              <a:cs typeface="+mn-cs"/>
            </a:rPr>
            <a:t>PPI Costs - Extract From Call Document</a:t>
          </a:r>
        </a:p>
        <a:p>
          <a:endParaRPr lang="en-IE" sz="1100" b="0" i="0" u="none" strike="noStrike" baseline="0">
            <a:solidFill>
              <a:schemeClr val="dk1"/>
            </a:solidFill>
            <a:latin typeface="+mn-lt"/>
            <a:ea typeface="+mn-ea"/>
            <a:cs typeface="+mn-cs"/>
          </a:endParaRPr>
        </a:p>
        <a:p>
          <a:r>
            <a:rPr lang="en-IE" sz="1200" b="0" i="1" u="none" strike="noStrike" baseline="0">
              <a:solidFill>
                <a:schemeClr val="dk1"/>
              </a:solidFill>
              <a:latin typeface="+mn-lt"/>
              <a:ea typeface="+mn-ea"/>
              <a:cs typeface="+mn-cs"/>
            </a:rPr>
            <a:t>"All PPI-related costs for the grant (except salaried personnel), such as but not limited to: </a:t>
          </a:r>
        </a:p>
        <a:p>
          <a:r>
            <a:rPr lang="en-IE" sz="1200" b="0" i="1" u="none" strike="noStrike" baseline="0">
              <a:solidFill>
                <a:schemeClr val="dk1"/>
              </a:solidFill>
              <a:latin typeface="+mn-lt"/>
              <a:ea typeface="+mn-ea"/>
              <a:cs typeface="+mn-cs"/>
            </a:rPr>
            <a:t>• Compensating PPI contributors for their time (for example for time spent reviewing material/ participation in advisory groups) </a:t>
          </a:r>
        </a:p>
        <a:p>
          <a:r>
            <a:rPr lang="en-IE" sz="1200" b="0" i="1" u="none" strike="noStrike" baseline="0">
              <a:solidFill>
                <a:schemeClr val="dk1"/>
              </a:solidFill>
              <a:latin typeface="+mn-lt"/>
              <a:ea typeface="+mn-ea"/>
              <a:cs typeface="+mn-cs"/>
            </a:rPr>
            <a:t>• Travel expenses for PPI contributors </a:t>
          </a:r>
        </a:p>
        <a:p>
          <a:r>
            <a:rPr lang="en-IE" sz="1200" b="0" i="1" u="none" strike="noStrike" baseline="0">
              <a:solidFill>
                <a:schemeClr val="dk1"/>
              </a:solidFill>
              <a:latin typeface="+mn-lt"/>
              <a:ea typeface="+mn-ea"/>
              <a:cs typeface="+mn-cs"/>
            </a:rPr>
            <a:t>• Training in PPI in research </a:t>
          </a:r>
        </a:p>
        <a:p>
          <a:r>
            <a:rPr lang="en-IE" sz="1200" b="0" i="1" u="none" strike="noStrike" baseline="0">
              <a:solidFill>
                <a:schemeClr val="dk1"/>
              </a:solidFill>
              <a:latin typeface="+mn-lt"/>
              <a:ea typeface="+mn-ea"/>
              <a:cs typeface="+mn-cs"/>
            </a:rPr>
            <a:t>• Costs associated with PPI contributors attending conferences, workshops or training </a:t>
          </a:r>
        </a:p>
        <a:p>
          <a:r>
            <a:rPr lang="en-IE" sz="1200" b="0" i="1" u="none" strike="noStrike" baseline="0">
              <a:solidFill>
                <a:schemeClr val="dk1"/>
              </a:solidFill>
              <a:latin typeface="+mn-lt"/>
              <a:ea typeface="+mn-ea"/>
              <a:cs typeface="+mn-cs"/>
            </a:rPr>
            <a:t>• PPI event facilitator costs </a:t>
          </a:r>
        </a:p>
        <a:p>
          <a:r>
            <a:rPr lang="en-IE" sz="1200" b="0" i="1" u="none" strike="noStrike" baseline="0">
              <a:solidFill>
                <a:schemeClr val="dk1"/>
              </a:solidFill>
              <a:latin typeface="+mn-lt"/>
              <a:ea typeface="+mn-ea"/>
              <a:cs typeface="+mn-cs"/>
            </a:rPr>
            <a:t>• Room hire for PPI events/meetings. </a:t>
          </a:r>
        </a:p>
        <a:p>
          <a:r>
            <a:rPr lang="en-IE" sz="1200" b="0" i="1" u="none" strike="noStrike" baseline="0">
              <a:solidFill>
                <a:schemeClr val="dk1"/>
              </a:solidFill>
              <a:latin typeface="+mn-lt"/>
              <a:ea typeface="+mn-ea"/>
              <a:cs typeface="+mn-cs"/>
            </a:rPr>
            <a:t>• Hospitality for PPI events/meetings </a:t>
          </a:r>
        </a:p>
        <a:p>
          <a:r>
            <a:rPr lang="en-IE" sz="1200" b="0" i="1" u="none" strike="noStrike" baseline="0">
              <a:solidFill>
                <a:schemeClr val="dk1"/>
              </a:solidFill>
              <a:latin typeface="+mn-lt"/>
              <a:ea typeface="+mn-ea"/>
              <a:cs typeface="+mn-cs"/>
            </a:rPr>
            <a:t>• Companionship or childcare costs for PPI contributors while attending events, meetings, etc. </a:t>
          </a:r>
        </a:p>
        <a:p>
          <a:endParaRPr lang="en-IE" sz="1200" b="0" i="1" u="none" strike="noStrike" baseline="0">
            <a:solidFill>
              <a:schemeClr val="dk1"/>
            </a:solidFill>
            <a:latin typeface="+mn-lt"/>
            <a:ea typeface="+mn-ea"/>
            <a:cs typeface="+mn-cs"/>
          </a:endParaRPr>
        </a:p>
        <a:p>
          <a:r>
            <a:rPr lang="en-IE" sz="1200" b="1" i="1" u="none" strike="noStrike" baseline="0">
              <a:solidFill>
                <a:schemeClr val="dk1"/>
              </a:solidFill>
              <a:latin typeface="+mn-lt"/>
              <a:ea typeface="+mn-ea"/>
              <a:cs typeface="+mn-cs"/>
            </a:rPr>
            <a:t>Note: </a:t>
          </a:r>
          <a:endParaRPr lang="en-IE" sz="1200" b="0" i="1" u="none" strike="noStrike" baseline="0">
            <a:solidFill>
              <a:schemeClr val="dk1"/>
            </a:solidFill>
            <a:latin typeface="+mn-lt"/>
            <a:ea typeface="+mn-ea"/>
            <a:cs typeface="+mn-cs"/>
          </a:endParaRPr>
        </a:p>
        <a:p>
          <a:r>
            <a:rPr lang="en-IE" sz="1200" b="0" i="1" u="none" strike="noStrike" baseline="0">
              <a:solidFill>
                <a:schemeClr val="dk1"/>
              </a:solidFill>
              <a:latin typeface="+mn-lt"/>
              <a:ea typeface="+mn-ea"/>
              <a:cs typeface="+mn-cs"/>
            </a:rPr>
            <a:t>PPI participants supported by salaries, should be listed and justified under the personnel heading. </a:t>
          </a:r>
        </a:p>
        <a:p>
          <a:r>
            <a:rPr lang="en-IE" sz="1200" b="0" i="1" u="none" strike="noStrike" baseline="0">
              <a:solidFill>
                <a:schemeClr val="dk1"/>
              </a:solidFill>
              <a:latin typeface="+mn-lt"/>
              <a:ea typeface="+mn-ea"/>
              <a:cs typeface="+mn-cs"/>
            </a:rPr>
            <a:t>All costs should be in line with Host Institution policies. "	</a:t>
          </a:r>
        </a:p>
        <a:p>
          <a:pPr algn="l"/>
          <a:endParaRPr lang="en-IE"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48597</xdr:rowOff>
    </xdr:from>
    <xdr:to>
      <xdr:col>9</xdr:col>
      <xdr:colOff>758112</xdr:colOff>
      <xdr:row>1</xdr:row>
      <xdr:rowOff>1292679</xdr:rowOff>
    </xdr:to>
    <xdr:sp macro="" textlink="">
      <xdr:nvSpPr>
        <xdr:cNvPr id="2" name="TextBox 1">
          <a:extLst>
            <a:ext uri="{FF2B5EF4-FFF2-40B4-BE49-F238E27FC236}">
              <a16:creationId xmlns:a16="http://schemas.microsoft.com/office/drawing/2014/main" id="{7249AC0C-76D5-454A-A97D-F22ABAE7400E}"/>
            </a:ext>
          </a:extLst>
        </xdr:cNvPr>
        <xdr:cNvSpPr txBox="1"/>
      </xdr:nvSpPr>
      <xdr:spPr>
        <a:xfrm>
          <a:off x="0" y="340179"/>
          <a:ext cx="10633010" cy="1244082"/>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400" b="1">
              <a:solidFill>
                <a:schemeClr val="tx1"/>
              </a:solidFill>
            </a:rPr>
            <a:t>Guidance (Extract</a:t>
          </a:r>
          <a:r>
            <a:rPr lang="en-IE" sz="1400" b="1" baseline="0">
              <a:solidFill>
                <a:schemeClr val="tx1"/>
              </a:solidFill>
            </a:rPr>
            <a:t> from call doc)</a:t>
          </a:r>
          <a:r>
            <a:rPr lang="en-IE" sz="1400" b="1">
              <a:solidFill>
                <a:schemeClr val="tx1"/>
              </a:solidFill>
            </a:rPr>
            <a:t>:</a:t>
          </a:r>
        </a:p>
        <a:p>
          <a:r>
            <a:rPr lang="en-IE" sz="1200" b="0" i="1" u="none" strike="noStrike" baseline="0">
              <a:solidFill>
                <a:schemeClr val="dk1"/>
              </a:solidFill>
              <a:latin typeface="+mn-lt"/>
              <a:ea typeface="+mn-ea"/>
              <a:cs typeface="+mn-cs"/>
            </a:rPr>
            <a:t>"Funding for suitably justified equipment can be included in this section. We do not expect equipment costs in excess of €10,000. Personal/Stand-alone computers will not be funded as these are considered a standard piece of office equipment, i.e., overhead. Dedicated laptops or similar equipment that is required specifically for the project because of the nature of the research, will be considered where appropriately justified, and should not exceed €1,200. All costs must be inclusive of VAT, where applicable. Depending on the nature of the project, high spec computers may be eligible and clear justification and rationale for the costs requested must be provided. All costs must be inclusive of VAT, where applicable"</a:t>
          </a:r>
          <a:r>
            <a:rPr lang="en-IE" sz="1100" b="0" i="0" u="none" strike="noStrike" baseline="0">
              <a:solidFill>
                <a:schemeClr val="dk1"/>
              </a:solidFill>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190500</xdr:rowOff>
    </xdr:from>
    <xdr:to>
      <xdr:col>10</xdr:col>
      <xdr:colOff>0</xdr:colOff>
      <xdr:row>46</xdr:row>
      <xdr:rowOff>171450</xdr:rowOff>
    </xdr:to>
    <xdr:sp macro="" textlink="">
      <xdr:nvSpPr>
        <xdr:cNvPr id="2" name="TextBox 1">
          <a:extLst>
            <a:ext uri="{FF2B5EF4-FFF2-40B4-BE49-F238E27FC236}">
              <a16:creationId xmlns:a16="http://schemas.microsoft.com/office/drawing/2014/main" id="{CBB74A8B-1223-4678-8269-F63E83F2529A}"/>
            </a:ext>
          </a:extLst>
        </xdr:cNvPr>
        <xdr:cNvSpPr txBox="1"/>
      </xdr:nvSpPr>
      <xdr:spPr>
        <a:xfrm>
          <a:off x="0" y="4895850"/>
          <a:ext cx="9858375" cy="341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IE" sz="1100" b="0" i="1" baseline="0">
            <a:solidFill>
              <a:srgbClr val="FF0000"/>
            </a:solidFill>
            <a:effectLst/>
            <a:latin typeface="+mn-lt"/>
            <a:ea typeface="+mn-ea"/>
            <a:cs typeface="+mn-cs"/>
          </a:endParaRPr>
        </a:p>
      </xdr:txBody>
    </xdr:sp>
    <xdr:clientData/>
  </xdr:twoCellAnchor>
  <xdr:twoCellAnchor>
    <xdr:from>
      <xdr:col>0</xdr:col>
      <xdr:colOff>0</xdr:colOff>
      <xdr:row>1</xdr:row>
      <xdr:rowOff>9524</xdr:rowOff>
    </xdr:from>
    <xdr:to>
      <xdr:col>9</xdr:col>
      <xdr:colOff>752474</xdr:colOff>
      <xdr:row>3</xdr:row>
      <xdr:rowOff>9525</xdr:rowOff>
    </xdr:to>
    <xdr:sp macro="" textlink="">
      <xdr:nvSpPr>
        <xdr:cNvPr id="3" name="TextBox 2">
          <a:extLst>
            <a:ext uri="{FF2B5EF4-FFF2-40B4-BE49-F238E27FC236}">
              <a16:creationId xmlns:a16="http://schemas.microsoft.com/office/drawing/2014/main" id="{45198E51-751B-49BB-83B6-CB4CF9E94131}"/>
            </a:ext>
          </a:extLst>
        </xdr:cNvPr>
        <xdr:cNvSpPr txBox="1"/>
      </xdr:nvSpPr>
      <xdr:spPr>
        <a:xfrm>
          <a:off x="0" y="304799"/>
          <a:ext cx="9839324" cy="1152526"/>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400" b="1">
              <a:solidFill>
                <a:schemeClr val="tx1"/>
              </a:solidFill>
            </a:rPr>
            <a:t>Guidance:</a:t>
          </a:r>
        </a:p>
        <a:p>
          <a:pPr algn="l"/>
          <a:endParaRPr lang="en-IE" sz="1400" b="1">
            <a:solidFill>
              <a:schemeClr val="tx1"/>
            </a:solidFill>
          </a:endParaRPr>
        </a:p>
        <a:p>
          <a:pPr algn="l"/>
          <a:r>
            <a:rPr lang="en-IE" sz="1400" b="0">
              <a:solidFill>
                <a:schemeClr val="tx1"/>
              </a:solidFill>
            </a:rPr>
            <a:t>1) </a:t>
          </a:r>
          <a:r>
            <a:rPr lang="en-IE" sz="1400"/>
            <a:t>Costs related to data-related and data management activities in line with best practice of data management and stewardship and the FAIR principles incurred during the lifetime of the project. Please see table below (extract from HRB) for further guidance. </a:t>
          </a:r>
          <a:endParaRPr lang="en-IE" sz="1400" b="0" u="none">
            <a:solidFill>
              <a:schemeClr val="tx1"/>
            </a:solidFill>
          </a:endParaRPr>
        </a:p>
      </xdr:txBody>
    </xdr:sp>
    <xdr:clientData/>
  </xdr:twoCellAnchor>
  <xdr:twoCellAnchor editAs="oneCell">
    <xdr:from>
      <xdr:col>0</xdr:col>
      <xdr:colOff>66675</xdr:colOff>
      <xdr:row>21</xdr:row>
      <xdr:rowOff>187696</xdr:rowOff>
    </xdr:from>
    <xdr:to>
      <xdr:col>2</xdr:col>
      <xdr:colOff>2266229</xdr:colOff>
      <xdr:row>46</xdr:row>
      <xdr:rowOff>73005</xdr:rowOff>
    </xdr:to>
    <xdr:pic>
      <xdr:nvPicPr>
        <xdr:cNvPr id="4" name="Picture 3">
          <a:extLst>
            <a:ext uri="{FF2B5EF4-FFF2-40B4-BE49-F238E27FC236}">
              <a16:creationId xmlns:a16="http://schemas.microsoft.com/office/drawing/2014/main" id="{77231F64-D38D-44ED-B0EE-C7CB62F02DB4}"/>
            </a:ext>
          </a:extLst>
        </xdr:cNvPr>
        <xdr:cNvPicPr>
          <a:picLocks noChangeAspect="1"/>
        </xdr:cNvPicPr>
      </xdr:nvPicPr>
      <xdr:blipFill>
        <a:blip xmlns:r="http://schemas.openxmlformats.org/officeDocument/2006/relationships" r:embed="rId1"/>
        <a:stretch>
          <a:fillRect/>
        </a:stretch>
      </xdr:blipFill>
      <xdr:spPr>
        <a:xfrm>
          <a:off x="66675" y="5093071"/>
          <a:ext cx="5771429" cy="31238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9524</xdr:colOff>
      <xdr:row>2</xdr:row>
      <xdr:rowOff>161925</xdr:rowOff>
    </xdr:to>
    <xdr:sp macro="" textlink="">
      <xdr:nvSpPr>
        <xdr:cNvPr id="2" name="TextBox 1">
          <a:extLst>
            <a:ext uri="{FF2B5EF4-FFF2-40B4-BE49-F238E27FC236}">
              <a16:creationId xmlns:a16="http://schemas.microsoft.com/office/drawing/2014/main" id="{9EE4E246-BB3D-480E-83B7-9B68A80CBD78}"/>
            </a:ext>
          </a:extLst>
        </xdr:cNvPr>
        <xdr:cNvSpPr txBox="1"/>
      </xdr:nvSpPr>
      <xdr:spPr>
        <a:xfrm>
          <a:off x="0" y="295275"/>
          <a:ext cx="9496424" cy="3448050"/>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400" b="1">
              <a:solidFill>
                <a:schemeClr val="tx1"/>
              </a:solidFill>
            </a:rPr>
            <a:t>Guidance</a:t>
          </a:r>
          <a:r>
            <a:rPr lang="en-IE" sz="1400" b="1" baseline="0">
              <a:solidFill>
                <a:schemeClr val="tx1"/>
              </a:solidFill>
            </a:rPr>
            <a:t> from call doc:</a:t>
          </a:r>
        </a:p>
        <a:p>
          <a:pPr algn="l"/>
          <a:endParaRPr lang="en-IE" sz="1400" b="1" baseline="0">
            <a:solidFill>
              <a:schemeClr val="tx1"/>
            </a:solidFill>
          </a:endParaRPr>
        </a:p>
        <a:p>
          <a:r>
            <a:rPr lang="en-IE" sz="1400" b="0" i="1" u="none" strike="noStrike" baseline="0">
              <a:solidFill>
                <a:schemeClr val="dk1"/>
              </a:solidFill>
              <a:latin typeface="+mn-lt"/>
              <a:ea typeface="+mn-ea"/>
              <a:cs typeface="+mn-cs"/>
            </a:rPr>
            <a:t>"Costs associated with publication of results, seminar/conference attendance (provide details of name and location, where possible) and any other means of communicating/reporting research outcomes as detailed in the dissemination and knowledge translation plan, as well as costs related to data sharing. Please refer to the HRB policy on Open Access to Published Research. Please list dissemination costs under the following categories: publications, conferences, other activities (expanded as necessary). </a:t>
          </a:r>
        </a:p>
        <a:p>
          <a:endParaRPr lang="en-IE" sz="1400" b="1" i="1" u="none" strike="noStrike" baseline="0">
            <a:solidFill>
              <a:schemeClr val="dk1"/>
            </a:solidFill>
            <a:latin typeface="+mn-lt"/>
            <a:ea typeface="+mn-ea"/>
            <a:cs typeface="+mn-cs"/>
          </a:endParaRPr>
        </a:p>
        <a:p>
          <a:r>
            <a:rPr lang="en-IE" sz="1400" b="1" i="1" u="none" strike="noStrike" baseline="0">
              <a:solidFill>
                <a:schemeClr val="dk1"/>
              </a:solidFill>
              <a:latin typeface="+mn-lt"/>
              <a:ea typeface="+mn-ea"/>
              <a:cs typeface="+mn-cs"/>
            </a:rPr>
            <a:t>Publications: </a:t>
          </a:r>
          <a:r>
            <a:rPr lang="en-IE" sz="1400" b="0" i="1" u="none" strike="noStrike" baseline="0">
              <a:solidFill>
                <a:schemeClr val="dk1"/>
              </a:solidFill>
              <a:latin typeface="+mn-lt"/>
              <a:ea typeface="+mn-ea"/>
              <a:cs typeface="+mn-cs"/>
            </a:rPr>
            <a:t>Typically, the average HRB contribution towards publication costs is €1,750/per article or </a:t>
          </a:r>
          <a:r>
            <a:rPr lang="en-IE" sz="1400" b="1" i="1" u="none" strike="noStrike" baseline="0">
              <a:solidFill>
                <a:schemeClr val="dk1"/>
              </a:solidFill>
              <a:latin typeface="+mn-lt"/>
              <a:ea typeface="+mn-ea"/>
              <a:cs typeface="+mn-cs"/>
            </a:rPr>
            <a:t>HRB Open Research</a:t>
          </a:r>
          <a:r>
            <a:rPr lang="en-IE" sz="1400" b="0" i="1" u="none" strike="noStrike" baseline="0">
              <a:solidFill>
                <a:schemeClr val="dk1"/>
              </a:solidFill>
              <a:latin typeface="+mn-lt"/>
              <a:ea typeface="+mn-ea"/>
              <a:cs typeface="+mn-cs"/>
            </a:rPr>
            <a:t>: rapid open peer reviewed and open access platform for all research outputs, with all publication charges covered centrally by the HRB at no expense to the grantee. (www.hrbopenresearch.org) free of charge. </a:t>
          </a:r>
        </a:p>
        <a:p>
          <a:endParaRPr lang="en-IE" sz="1400" b="1" i="1" u="none" strike="noStrike" baseline="0">
            <a:solidFill>
              <a:schemeClr val="dk1"/>
            </a:solidFill>
            <a:latin typeface="+mn-lt"/>
            <a:ea typeface="+mn-ea"/>
            <a:cs typeface="+mn-cs"/>
          </a:endParaRPr>
        </a:p>
        <a:p>
          <a:r>
            <a:rPr lang="en-IE" sz="1400" b="1" i="1" u="none" strike="noStrike" baseline="0">
              <a:solidFill>
                <a:schemeClr val="dk1"/>
              </a:solidFill>
              <a:latin typeface="+mn-lt"/>
              <a:ea typeface="+mn-ea"/>
              <a:cs typeface="+mn-cs"/>
            </a:rPr>
            <a:t>Conferences: </a:t>
          </a:r>
          <a:r>
            <a:rPr lang="en-IE" sz="1400" b="0" i="1" u="none" strike="noStrike" baseline="0">
              <a:solidFill>
                <a:schemeClr val="dk1"/>
              </a:solidFill>
              <a:latin typeface="+mn-lt"/>
              <a:ea typeface="+mn-ea"/>
              <a:cs typeface="+mn-cs"/>
            </a:rPr>
            <a:t>We envisage that conference costs will be typically around €500 for national conference and €1,500 for international conference per person and year." 	</a:t>
          </a:r>
        </a:p>
        <a:p>
          <a:pPr algn="l"/>
          <a:endParaRPr lang="en-IE" sz="1400" b="1">
            <a:solidFill>
              <a:schemeClr val="tx1"/>
            </a:solidFill>
          </a:endParaRPr>
        </a:p>
        <a:p>
          <a:pPr algn="l"/>
          <a:endParaRPr lang="en-IE"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266699</xdr:rowOff>
    </xdr:from>
    <xdr:to>
      <xdr:col>11</xdr:col>
      <xdr:colOff>275665</xdr:colOff>
      <xdr:row>13</xdr:row>
      <xdr:rowOff>47624</xdr:rowOff>
    </xdr:to>
    <xdr:sp macro="" textlink="">
      <xdr:nvSpPr>
        <xdr:cNvPr id="4" name="TextBox 3">
          <a:extLst>
            <a:ext uri="{FF2B5EF4-FFF2-40B4-BE49-F238E27FC236}">
              <a16:creationId xmlns:a16="http://schemas.microsoft.com/office/drawing/2014/main" id="{3051AE3B-D6C1-42C3-B3F2-6F789325D7E3}"/>
            </a:ext>
          </a:extLst>
        </xdr:cNvPr>
        <xdr:cNvSpPr txBox="1"/>
      </xdr:nvSpPr>
      <xdr:spPr>
        <a:xfrm>
          <a:off x="0" y="266699"/>
          <a:ext cx="6981265" cy="2333625"/>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400" b="0" baseline="0">
              <a:solidFill>
                <a:schemeClr val="tx1"/>
              </a:solidFill>
            </a:rPr>
            <a:t>1) This budget template should be accompanied by your </a:t>
          </a:r>
          <a:r>
            <a:rPr lang="en-IE" sz="1400" b="1" u="sng" baseline="0">
              <a:solidFill>
                <a:schemeClr val="tx1"/>
              </a:solidFill>
            </a:rPr>
            <a:t>Justification Text in WORD format.  </a:t>
          </a:r>
          <a:r>
            <a:rPr lang="en-IE" sz="1400" b="0" u="none" baseline="0">
              <a:solidFill>
                <a:schemeClr val="tx1"/>
              </a:solidFill>
            </a:rPr>
            <a:t>This justifcation text is required by the funder and also provides important additional context which will assist us in reviewing your budget.</a:t>
          </a:r>
        </a:p>
        <a:p>
          <a:pPr algn="l"/>
          <a:endParaRPr lang="en-IE" sz="1400" b="0" baseline="0">
            <a:solidFill>
              <a:schemeClr val="tx1"/>
            </a:solidFill>
          </a:endParaRPr>
        </a:p>
        <a:p>
          <a:pPr algn="l"/>
          <a:r>
            <a:rPr lang="en-IE" sz="1400" b="0" baseline="0">
              <a:solidFill>
                <a:schemeClr val="tx1"/>
              </a:solidFill>
            </a:rPr>
            <a:t>2) </a:t>
          </a:r>
          <a:r>
            <a:rPr lang="en-IE" sz="1400"/>
            <a:t>A breakdown of costings and justification for all funding should</a:t>
          </a:r>
          <a:r>
            <a:rPr lang="en-IE" sz="1400" baseline="0"/>
            <a:t> be provided </a:t>
          </a:r>
          <a:r>
            <a:rPr lang="en-IE" sz="1400"/>
            <a:t>for items listed under each budget subheading within GEMS. </a:t>
          </a:r>
        </a:p>
        <a:p>
          <a:pPr algn="l"/>
          <a:endParaRPr lang="en-IE" sz="1400" b="0">
            <a:solidFill>
              <a:schemeClr val="tx1"/>
            </a:solidFill>
          </a:endParaRPr>
        </a:p>
        <a:p>
          <a:pPr algn="l"/>
          <a:r>
            <a:rPr lang="en-IE" sz="1400" b="0">
              <a:solidFill>
                <a:schemeClr val="tx1"/>
              </a:solidFill>
            </a:rPr>
            <a:t>3)</a:t>
          </a:r>
          <a:r>
            <a:rPr lang="en-IE" sz="1400" b="0" baseline="0">
              <a:solidFill>
                <a:schemeClr val="tx1"/>
              </a:solidFill>
            </a:rPr>
            <a:t> Justification means explaning why you need to incur this cost as part of your project - why is it neccesary for the funder to fund these costs. You can include the specific cost of key items as well as additional explanatory narrative</a:t>
          </a:r>
          <a:endParaRPr lang="en-IE" sz="1400" b="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7</xdr:row>
      <xdr:rowOff>11206</xdr:rowOff>
    </xdr:to>
    <xdr:sp macro="" textlink="">
      <xdr:nvSpPr>
        <xdr:cNvPr id="3" name="TextBox 2">
          <a:extLst>
            <a:ext uri="{FF2B5EF4-FFF2-40B4-BE49-F238E27FC236}">
              <a16:creationId xmlns:a16="http://schemas.microsoft.com/office/drawing/2014/main" id="{2F8A1BD6-0700-47C3-A4A6-139DAE51503E}"/>
            </a:ext>
          </a:extLst>
        </xdr:cNvPr>
        <xdr:cNvSpPr txBox="1"/>
      </xdr:nvSpPr>
      <xdr:spPr>
        <a:xfrm>
          <a:off x="0" y="0"/>
          <a:ext cx="7866529" cy="1355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600" b="1">
              <a:solidFill>
                <a:schemeClr val="tx1"/>
              </a:solidFill>
            </a:rPr>
            <a:t>PROJECT BUDGET  </a:t>
          </a:r>
        </a:p>
        <a:p>
          <a:pPr algn="ctr"/>
          <a:r>
            <a:rPr lang="en-IE" sz="1600" b="1" u="sng">
              <a:solidFill>
                <a:schemeClr val="tx1"/>
              </a:solidFill>
            </a:rPr>
            <a:t>THIS BUDGET</a:t>
          </a:r>
          <a:r>
            <a:rPr lang="en-IE" sz="1600" b="1" u="sng" baseline="0">
              <a:solidFill>
                <a:schemeClr val="tx1"/>
              </a:solidFill>
            </a:rPr>
            <a:t> </a:t>
          </a:r>
          <a:r>
            <a:rPr lang="en-IE" sz="1600" b="1" u="sng">
              <a:solidFill>
                <a:schemeClr val="tx1"/>
              </a:solidFill>
            </a:rPr>
            <a:t>WILL AUTO-POPULATE USING</a:t>
          </a:r>
          <a:r>
            <a:rPr lang="en-IE" sz="1600" b="1" u="sng" baseline="0">
              <a:solidFill>
                <a:schemeClr val="tx1"/>
              </a:solidFill>
            </a:rPr>
            <a:t> DATA ENTERED IN STEPS 1-6. </a:t>
          </a:r>
        </a:p>
        <a:p>
          <a:pPr algn="ctr"/>
          <a:r>
            <a:rPr lang="en-IE" sz="1400" b="0" u="none" baseline="0">
              <a:solidFill>
                <a:schemeClr val="tx1"/>
              </a:solidFill>
            </a:rPr>
            <a:t>The budget template below automatically populates using the information you enter in Steps 1, 2 3 4,5  and 6.</a:t>
          </a:r>
          <a:endParaRPr lang="en-IE" sz="1400" b="1" u="sng">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xdr:row>
      <xdr:rowOff>152400</xdr:rowOff>
    </xdr:from>
    <xdr:to>
      <xdr:col>11</xdr:col>
      <xdr:colOff>532481</xdr:colOff>
      <xdr:row>32</xdr:row>
      <xdr:rowOff>28448</xdr:rowOff>
    </xdr:to>
    <xdr:pic>
      <xdr:nvPicPr>
        <xdr:cNvPr id="2" name="Picture 1">
          <a:extLst>
            <a:ext uri="{FF2B5EF4-FFF2-40B4-BE49-F238E27FC236}">
              <a16:creationId xmlns:a16="http://schemas.microsoft.com/office/drawing/2014/main" id="{1F1D2428-F75B-410E-B8D3-509082413528}"/>
            </a:ext>
          </a:extLst>
        </xdr:cNvPr>
        <xdr:cNvPicPr>
          <a:picLocks noChangeAspect="1"/>
        </xdr:cNvPicPr>
      </xdr:nvPicPr>
      <xdr:blipFill>
        <a:blip xmlns:r="http://schemas.openxmlformats.org/officeDocument/2006/relationships" r:embed="rId1"/>
        <a:stretch>
          <a:fillRect/>
        </a:stretch>
      </xdr:blipFill>
      <xdr:spPr>
        <a:xfrm>
          <a:off x="0" y="6334125"/>
          <a:ext cx="7352381" cy="1019048"/>
        </a:xfrm>
        <a:prstGeom prst="rect">
          <a:avLst/>
        </a:prstGeom>
      </xdr:spPr>
    </xdr:pic>
    <xdr:clientData/>
  </xdr:twoCellAnchor>
  <xdr:twoCellAnchor editAs="oneCell">
    <xdr:from>
      <xdr:col>0</xdr:col>
      <xdr:colOff>0</xdr:colOff>
      <xdr:row>22</xdr:row>
      <xdr:rowOff>38100</xdr:rowOff>
    </xdr:from>
    <xdr:to>
      <xdr:col>11</xdr:col>
      <xdr:colOff>513433</xdr:colOff>
      <xdr:row>27</xdr:row>
      <xdr:rowOff>142743</xdr:rowOff>
    </xdr:to>
    <xdr:pic>
      <xdr:nvPicPr>
        <xdr:cNvPr id="3" name="Picture 2">
          <a:extLst>
            <a:ext uri="{FF2B5EF4-FFF2-40B4-BE49-F238E27FC236}">
              <a16:creationId xmlns:a16="http://schemas.microsoft.com/office/drawing/2014/main" id="{3AD4A288-C15E-4946-8CD4-01DBFA8473E7}"/>
            </a:ext>
          </a:extLst>
        </xdr:cNvPr>
        <xdr:cNvPicPr>
          <a:picLocks noChangeAspect="1"/>
        </xdr:cNvPicPr>
      </xdr:nvPicPr>
      <xdr:blipFill>
        <a:blip xmlns:r="http://schemas.openxmlformats.org/officeDocument/2006/relationships" r:embed="rId2"/>
        <a:stretch>
          <a:fillRect/>
        </a:stretch>
      </xdr:blipFill>
      <xdr:spPr>
        <a:xfrm>
          <a:off x="0" y="5419725"/>
          <a:ext cx="7333333" cy="1057143"/>
        </a:xfrm>
        <a:prstGeom prst="rect">
          <a:avLst/>
        </a:prstGeom>
      </xdr:spPr>
    </xdr:pic>
    <xdr:clientData/>
  </xdr:twoCellAnchor>
  <xdr:twoCellAnchor editAs="oneCell">
    <xdr:from>
      <xdr:col>0</xdr:col>
      <xdr:colOff>57150</xdr:colOff>
      <xdr:row>18</xdr:row>
      <xdr:rowOff>0</xdr:rowOff>
    </xdr:from>
    <xdr:to>
      <xdr:col>11</xdr:col>
      <xdr:colOff>542012</xdr:colOff>
      <xdr:row>22</xdr:row>
      <xdr:rowOff>190381</xdr:rowOff>
    </xdr:to>
    <xdr:pic>
      <xdr:nvPicPr>
        <xdr:cNvPr id="4" name="Picture 3">
          <a:extLst>
            <a:ext uri="{FF2B5EF4-FFF2-40B4-BE49-F238E27FC236}">
              <a16:creationId xmlns:a16="http://schemas.microsoft.com/office/drawing/2014/main" id="{C1E5C6D7-92D4-4152-BA2A-3A66CB888250}"/>
            </a:ext>
          </a:extLst>
        </xdr:cNvPr>
        <xdr:cNvPicPr>
          <a:picLocks noChangeAspect="1"/>
        </xdr:cNvPicPr>
      </xdr:nvPicPr>
      <xdr:blipFill>
        <a:blip xmlns:r="http://schemas.openxmlformats.org/officeDocument/2006/relationships" r:embed="rId3"/>
        <a:stretch>
          <a:fillRect/>
        </a:stretch>
      </xdr:blipFill>
      <xdr:spPr>
        <a:xfrm>
          <a:off x="57150" y="4581525"/>
          <a:ext cx="7304762" cy="9523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33</xdr:row>
      <xdr:rowOff>190501</xdr:rowOff>
    </xdr:from>
    <xdr:to>
      <xdr:col>1</xdr:col>
      <xdr:colOff>1266825</xdr:colOff>
      <xdr:row>50</xdr:row>
      <xdr:rowOff>9525</xdr:rowOff>
    </xdr:to>
    <xdr:sp macro="" textlink="">
      <xdr:nvSpPr>
        <xdr:cNvPr id="2" name="TextBox 1">
          <a:extLst>
            <a:ext uri="{FF2B5EF4-FFF2-40B4-BE49-F238E27FC236}">
              <a16:creationId xmlns:a16="http://schemas.microsoft.com/office/drawing/2014/main" id="{D76FD14D-1F0D-48D8-A9C9-3517086D6A48}"/>
            </a:ext>
          </a:extLst>
        </xdr:cNvPr>
        <xdr:cNvSpPr txBox="1"/>
      </xdr:nvSpPr>
      <xdr:spPr>
        <a:xfrm>
          <a:off x="0" y="6229351"/>
          <a:ext cx="2933700" cy="3981449"/>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algn="ctr"/>
          <a:r>
            <a:rPr lang="en-IE" sz="1300" b="1" baseline="0">
              <a:solidFill>
                <a:schemeClr val="tx1"/>
              </a:solidFill>
            </a:rPr>
            <a:t>There are two points of note here:</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is that all team members work full-time for 5 years. However, you may have a research assistant working only in years 1-3 at 50% FTE. In this case, you should have "0" months in Years 4 and 5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48</xdr:row>
      <xdr:rowOff>179294</xdr:rowOff>
    </xdr:from>
    <xdr:to>
      <xdr:col>0</xdr:col>
      <xdr:colOff>2767853</xdr:colOff>
      <xdr:row>50</xdr:row>
      <xdr:rowOff>168087</xdr:rowOff>
    </xdr:to>
    <xdr:sp macro="" textlink="">
      <xdr:nvSpPr>
        <xdr:cNvPr id="3" name="TextBox 2">
          <a:hlinkClick xmlns:r="http://schemas.openxmlformats.org/officeDocument/2006/relationships" r:id="rId1"/>
          <a:extLst>
            <a:ext uri="{FF2B5EF4-FFF2-40B4-BE49-F238E27FC236}">
              <a16:creationId xmlns:a16="http://schemas.microsoft.com/office/drawing/2014/main" id="{C7BA3996-A4EB-4395-9D0D-7652E97EAF21}"/>
            </a:ext>
          </a:extLst>
        </xdr:cNvPr>
        <xdr:cNvSpPr txBox="1"/>
      </xdr:nvSpPr>
      <xdr:spPr>
        <a:xfrm>
          <a:off x="0" y="9932894"/>
          <a:ext cx="2767853" cy="35074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2</xdr:col>
      <xdr:colOff>28575</xdr:colOff>
      <xdr:row>42</xdr:row>
      <xdr:rowOff>38099</xdr:rowOff>
    </xdr:from>
    <xdr:ext cx="7486650" cy="1724026"/>
    <xdr:sp macro="" textlink="">
      <xdr:nvSpPr>
        <xdr:cNvPr id="5" name="TextBox 4">
          <a:extLst>
            <a:ext uri="{FF2B5EF4-FFF2-40B4-BE49-F238E27FC236}">
              <a16:creationId xmlns:a16="http://schemas.microsoft.com/office/drawing/2014/main" id="{4493F22A-B46A-4BAA-ABBA-DA516F2AE868}"/>
            </a:ext>
          </a:extLst>
        </xdr:cNvPr>
        <xdr:cNvSpPr txBox="1"/>
      </xdr:nvSpPr>
      <xdr:spPr>
        <a:xfrm>
          <a:off x="2828925" y="8134349"/>
          <a:ext cx="7486650"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UCD academic</a:t>
          </a:r>
          <a:r>
            <a:rPr lang="en-IE" sz="1100" baseline="0"/>
            <a:t> costs are based on 1st March 2023 rates with a 3% inflation provision made every year. </a:t>
          </a:r>
        </a:p>
        <a:p>
          <a:r>
            <a:rPr lang="en-IE" sz="1100" baseline="0"/>
            <a:t>Salary automatically jumps one point on scale in every year i.e., begining in Year 1 at point 1, ends in Year 5 at point 5.</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32</xdr:row>
      <xdr:rowOff>190501</xdr:rowOff>
    </xdr:from>
    <xdr:to>
      <xdr:col>0</xdr:col>
      <xdr:colOff>2767853</xdr:colOff>
      <xdr:row>47</xdr:row>
      <xdr:rowOff>156882</xdr:rowOff>
    </xdr:to>
    <xdr:sp macro="" textlink="">
      <xdr:nvSpPr>
        <xdr:cNvPr id="2" name="TextBox 1">
          <a:extLst>
            <a:ext uri="{FF2B5EF4-FFF2-40B4-BE49-F238E27FC236}">
              <a16:creationId xmlns:a16="http://schemas.microsoft.com/office/drawing/2014/main" id="{B1F973F5-9768-4A74-B368-EDE7C34194DF}"/>
            </a:ext>
          </a:extLst>
        </xdr:cNvPr>
        <xdr:cNvSpPr txBox="1"/>
      </xdr:nvSpPr>
      <xdr:spPr>
        <a:xfrm>
          <a:off x="0" y="3333751"/>
          <a:ext cx="2767853" cy="3509681"/>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algn="ctr"/>
          <a:r>
            <a:rPr lang="en-IE" sz="1300" b="1" baseline="0">
              <a:solidFill>
                <a:schemeClr val="tx1"/>
              </a:solidFill>
            </a:rPr>
            <a:t>There are two points of note here:</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is that all team members work full-time for 5 years. However, you may have a research assistant working only in years 1-3 at 50% FTE. In this case, you should have "0" months in Years 4 and 5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47</xdr:row>
      <xdr:rowOff>179294</xdr:rowOff>
    </xdr:from>
    <xdr:to>
      <xdr:col>0</xdr:col>
      <xdr:colOff>2767853</xdr:colOff>
      <xdr:row>49</xdr:row>
      <xdr:rowOff>168087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96B5F45-560A-4425-B8B1-71C491871CDE}"/>
            </a:ext>
          </a:extLst>
        </xdr:cNvPr>
        <xdr:cNvSpPr txBox="1"/>
      </xdr:nvSpPr>
      <xdr:spPr>
        <a:xfrm>
          <a:off x="0" y="6865844"/>
          <a:ext cx="2767853" cy="35074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1</xdr:col>
      <xdr:colOff>28575</xdr:colOff>
      <xdr:row>41</xdr:row>
      <xdr:rowOff>38099</xdr:rowOff>
    </xdr:from>
    <xdr:ext cx="7486650" cy="1724026"/>
    <xdr:sp macro="" textlink="">
      <xdr:nvSpPr>
        <xdr:cNvPr id="5" name="TextBox 4">
          <a:extLst>
            <a:ext uri="{FF2B5EF4-FFF2-40B4-BE49-F238E27FC236}">
              <a16:creationId xmlns:a16="http://schemas.microsoft.com/office/drawing/2014/main" id="{22823A3A-D199-4D80-8E15-395FDD50D1E1}"/>
            </a:ext>
          </a:extLst>
        </xdr:cNvPr>
        <xdr:cNvSpPr txBox="1"/>
      </xdr:nvSpPr>
      <xdr:spPr>
        <a:xfrm>
          <a:off x="2828925" y="5067299"/>
          <a:ext cx="7486650"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UCD admin</a:t>
          </a:r>
          <a:r>
            <a:rPr lang="en-IE" sz="1100" baseline="0"/>
            <a:t> costs are based on 1st March 2023 rates with a 3% inflation provision made every year. </a:t>
          </a:r>
        </a:p>
        <a:p>
          <a:r>
            <a:rPr lang="en-IE" sz="1100" baseline="0"/>
            <a:t>Salary automatically jumps one point on scale in every year i.e., begining in Year 1 at point 1, ends in Year 5 at point 5.</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22412</xdr:colOff>
      <xdr:row>40</xdr:row>
      <xdr:rowOff>89645</xdr:rowOff>
    </xdr:from>
    <xdr:to>
      <xdr:col>3</xdr:col>
      <xdr:colOff>496980</xdr:colOff>
      <xdr:row>59</xdr:row>
      <xdr:rowOff>139734</xdr:rowOff>
    </xdr:to>
    <xdr:pic>
      <xdr:nvPicPr>
        <xdr:cNvPr id="2" name="Picture 1">
          <a:extLst>
            <a:ext uri="{FF2B5EF4-FFF2-40B4-BE49-F238E27FC236}">
              <a16:creationId xmlns:a16="http://schemas.microsoft.com/office/drawing/2014/main" id="{E220EA52-76B9-4241-AC75-CF8864D6C7A8}"/>
            </a:ext>
          </a:extLst>
        </xdr:cNvPr>
        <xdr:cNvPicPr>
          <a:picLocks noChangeAspect="1"/>
        </xdr:cNvPicPr>
      </xdr:nvPicPr>
      <xdr:blipFill>
        <a:blip xmlns:r="http://schemas.openxmlformats.org/officeDocument/2006/relationships" r:embed="rId1"/>
        <a:stretch>
          <a:fillRect/>
        </a:stretch>
      </xdr:blipFill>
      <xdr:spPr>
        <a:xfrm>
          <a:off x="22412" y="7852520"/>
          <a:ext cx="6408643" cy="3669589"/>
        </a:xfrm>
        <a:prstGeom prst="rect">
          <a:avLst/>
        </a:prstGeom>
      </xdr:spPr>
    </xdr:pic>
    <xdr:clientData/>
  </xdr:twoCellAnchor>
  <xdr:twoCellAnchor>
    <xdr:from>
      <xdr:col>0</xdr:col>
      <xdr:colOff>0</xdr:colOff>
      <xdr:row>4</xdr:row>
      <xdr:rowOff>228599</xdr:rowOff>
    </xdr:from>
    <xdr:to>
      <xdr:col>3</xdr:col>
      <xdr:colOff>923925</xdr:colOff>
      <xdr:row>16</xdr:row>
      <xdr:rowOff>114299</xdr:rowOff>
    </xdr:to>
    <xdr:sp macro="" textlink="">
      <xdr:nvSpPr>
        <xdr:cNvPr id="3" name="TextBox 2">
          <a:extLst>
            <a:ext uri="{FF2B5EF4-FFF2-40B4-BE49-F238E27FC236}">
              <a16:creationId xmlns:a16="http://schemas.microsoft.com/office/drawing/2014/main" id="{095110F8-957B-44DD-BCA4-DD3B098344E2}"/>
            </a:ext>
          </a:extLst>
        </xdr:cNvPr>
        <xdr:cNvSpPr txBox="1"/>
      </xdr:nvSpPr>
      <xdr:spPr>
        <a:xfrm>
          <a:off x="0" y="1181099"/>
          <a:ext cx="685800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b="1"/>
            <a:t>EXTRACT FROM CALL GUIDANCE</a:t>
          </a:r>
        </a:p>
        <a:p>
          <a:endParaRPr lang="en-IE"/>
        </a:p>
        <a:p>
          <a:r>
            <a:rPr lang="en-IE"/>
            <a:t>In accordance with the HRB Policy on Overhead Usage, the HRB will contribute to the indirect costs of the award through an overhead payment of 30% of Total Direct Modified Costs (TDMC excludes student fees, equipment and capital building costs).</a:t>
          </a:r>
        </a:p>
        <a:p>
          <a:endParaRPr lang="en-IE"/>
        </a:p>
        <a:p>
          <a:r>
            <a:rPr lang="en-IE"/>
            <a:t>The following items are included in the overhead contribution: recruitment costs, bench fees, office space, software, contribution to gases, bacteriological media preparation fees, waste fees, bioinformatics access.</a:t>
          </a:r>
          <a:endParaRPr lang="en-IE" sz="1100" b="0" i="1" baseline="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8</xdr:row>
      <xdr:rowOff>33618</xdr:rowOff>
    </xdr:to>
    <xdr:sp macro="" textlink="">
      <xdr:nvSpPr>
        <xdr:cNvPr id="2" name="TextBox 1">
          <a:extLst>
            <a:ext uri="{FF2B5EF4-FFF2-40B4-BE49-F238E27FC236}">
              <a16:creationId xmlns:a16="http://schemas.microsoft.com/office/drawing/2014/main" id="{A0224119-AF4D-4562-8758-C45BAE1BA733}"/>
            </a:ext>
          </a:extLst>
        </xdr:cNvPr>
        <xdr:cNvSpPr txBox="1"/>
      </xdr:nvSpPr>
      <xdr:spPr>
        <a:xfrm>
          <a:off x="0" y="0"/>
          <a:ext cx="8875059" cy="795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600" b="1">
              <a:solidFill>
                <a:schemeClr val="tx1"/>
              </a:solidFill>
            </a:rPr>
            <a:t>PROJECT BUDGET - NON-EURO  </a:t>
          </a:r>
        </a:p>
        <a:p>
          <a:pPr algn="ctr"/>
          <a:r>
            <a:rPr lang="en-IE" sz="1600" b="1" u="sng">
              <a:solidFill>
                <a:schemeClr val="tx1"/>
              </a:solidFill>
            </a:rPr>
            <a:t>THIS BUDGET</a:t>
          </a:r>
          <a:r>
            <a:rPr lang="en-IE" sz="1600" b="1" u="sng" baseline="0">
              <a:solidFill>
                <a:schemeClr val="tx1"/>
              </a:solidFill>
            </a:rPr>
            <a:t> </a:t>
          </a:r>
          <a:r>
            <a:rPr lang="en-IE" sz="1600" b="1" u="sng">
              <a:solidFill>
                <a:schemeClr val="tx1"/>
              </a:solidFill>
            </a:rPr>
            <a:t>WILL AUTO-POPULATE USING</a:t>
          </a:r>
          <a:r>
            <a:rPr lang="en-IE" sz="1600" b="1" u="sng" baseline="0">
              <a:solidFill>
                <a:schemeClr val="tx1"/>
              </a:solidFill>
            </a:rPr>
            <a:t> DATA ENTERED IN STEPS 1-5. </a:t>
          </a:r>
        </a:p>
        <a:p>
          <a:pPr algn="ctr"/>
          <a:r>
            <a:rPr lang="en-IE" sz="1400" b="0" u="none" baseline="0">
              <a:solidFill>
                <a:schemeClr val="tx1"/>
              </a:solidFill>
            </a:rPr>
            <a:t>The budget template below automatically converts the EURO budget into non-EURO currency</a:t>
          </a:r>
        </a:p>
        <a:p>
          <a:pPr algn="ctr"/>
          <a:endParaRPr lang="en-IE" sz="1400" b="0" u="none" baseline="0">
            <a:solidFill>
              <a:schemeClr val="tx1"/>
            </a:solidFill>
          </a:endParaRPr>
        </a:p>
        <a:p>
          <a:pPr algn="ctr"/>
          <a:r>
            <a:rPr lang="en-IE" sz="1400" b="1" u="none" baseline="0">
              <a:solidFill>
                <a:schemeClr val="tx1"/>
              </a:solidFill>
            </a:rPr>
            <a:t>Note: You must FIRST prepare your budet in EURO using this template and then it will automatically convert to the relevant FX currency. If you've specific questions then email budgetapprovals@ucd.ie</a:t>
          </a:r>
          <a:endParaRPr lang="en-IE" sz="1400" b="1" u="sng">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2867025</xdr:colOff>
      <xdr:row>4</xdr:row>
      <xdr:rowOff>152400</xdr:rowOff>
    </xdr:from>
    <xdr:to>
      <xdr:col>5</xdr:col>
      <xdr:colOff>323850</xdr:colOff>
      <xdr:row>13</xdr:row>
      <xdr:rowOff>57150</xdr:rowOff>
    </xdr:to>
    <xdr:sp macro="" textlink="">
      <xdr:nvSpPr>
        <xdr:cNvPr id="2" name="TextBox 1">
          <a:extLst>
            <a:ext uri="{FF2B5EF4-FFF2-40B4-BE49-F238E27FC236}">
              <a16:creationId xmlns:a16="http://schemas.microsoft.com/office/drawing/2014/main" id="{31474079-EAC7-2070-548D-859ED4064658}"/>
            </a:ext>
          </a:extLst>
        </xdr:cNvPr>
        <xdr:cNvSpPr txBox="1"/>
      </xdr:nvSpPr>
      <xdr:spPr>
        <a:xfrm>
          <a:off x="2867025" y="933450"/>
          <a:ext cx="601980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solidFill>
                <a:srgbClr val="FF0000"/>
              </a:solidFill>
            </a:rPr>
            <a:t>Not in use. JMCA 09/09.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ullan\Downloads\UCD%20HE%20Budget%20Template_Pilot_2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ony%20Notes\Tony\New%20Models\To%20Web%20Site\2014\H2020_Budget_Calculator_V2-1%20WebP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IE5\IB4AWFNH\H2020_Budget_Calculator_V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ny%20Notes\Funding%20Programmes\ERC\2014\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INEMO~1\AppData\Local\Temp\H2020_Budget_Calculator_V1-1%20Web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Assumptions. "/>
      <sheetName val="EFIN Reconciliation"/>
      <sheetName val="Step 1."/>
      <sheetName val="1C -Salary scales - UCD Academ"/>
      <sheetName val="1D - STUDENT"/>
      <sheetName val="1E - Monthly rate - All Posts"/>
      <sheetName val="Step 2."/>
      <sheetName val="Step 3."/>
      <sheetName val="Step 4."/>
      <sheetName val="Step 5."/>
      <sheetName val="Step 6."/>
      <sheetName val="Step 7."/>
      <sheetName val="Step 8."/>
      <sheetName val="Budget Summary"/>
      <sheetName val="Partner 2"/>
      <sheetName val="Lists - do not delete"/>
      <sheetName val="WorkPlanEffort"/>
      <sheetName val="EU Summary (2)"/>
      <sheetName val="1A Salary scales - RESEARCHER. "/>
      <sheetName val="Sheet2"/>
      <sheetName val="Old IUA Scales"/>
      <sheetName val="EU Summary"/>
      <sheetName val="WKng"/>
      <sheetName val="UCD HE Budget Template_Pilot_25"/>
    </sheetNames>
    <sheetDataSet>
      <sheetData sheetId="0"/>
      <sheetData sheetId="1"/>
      <sheetData sheetId="2"/>
      <sheetData sheetId="3"/>
      <sheetData sheetId="4"/>
      <sheetData sheetId="5"/>
      <sheetData sheetId="6">
        <row r="104">
          <cell r="A104" t="str">
            <v>Full Professor  - Code: 7937 - Point 1</v>
          </cell>
        </row>
        <row r="105">
          <cell r="A105" t="str">
            <v>Full Professor  - Code: 7937 - Point 2</v>
          </cell>
        </row>
        <row r="106">
          <cell r="A106" t="str">
            <v>Full Professor  - Code: 7937 - Point 3</v>
          </cell>
        </row>
        <row r="107">
          <cell r="A107" t="str">
            <v>Full Professor  - Code: 7937 - Point 4</v>
          </cell>
        </row>
        <row r="108">
          <cell r="A108" t="str">
            <v>Full Professor  - Code: 7937 - Point 5</v>
          </cell>
        </row>
        <row r="109">
          <cell r="A109" t="str">
            <v>Full Professor  - Code: 7937 - Point 6</v>
          </cell>
        </row>
        <row r="110">
          <cell r="A110" t="str">
            <v>Full Professor  - Code: 7936 - Point 1</v>
          </cell>
        </row>
        <row r="111">
          <cell r="A111" t="str">
            <v>Full Professor  - Code: 7936 - Point 2</v>
          </cell>
        </row>
        <row r="112">
          <cell r="A112" t="str">
            <v>Full Professor  - Code: 7936 - Point 3</v>
          </cell>
        </row>
        <row r="113">
          <cell r="A113" t="str">
            <v>Full Professor  - Code: 7936 - Point 4</v>
          </cell>
        </row>
        <row r="114">
          <cell r="A114" t="str">
            <v xml:space="preserve">Full Professor  - Code: 7936 - Point 5 </v>
          </cell>
        </row>
        <row r="115">
          <cell r="A115" t="str">
            <v>Full Professor  - Code: 7936 - Point 6</v>
          </cell>
        </row>
        <row r="116">
          <cell r="A116" t="str">
            <v>Professor  - Code: 7939 - Point 1</v>
          </cell>
        </row>
        <row r="117">
          <cell r="A117" t="str">
            <v>Professor  - Code: 7939 - Point 2</v>
          </cell>
        </row>
        <row r="118">
          <cell r="A118" t="str">
            <v>Professor  - Code: 7939 - Point 3</v>
          </cell>
        </row>
        <row r="119">
          <cell r="A119" t="str">
            <v>Professor  - Code: 7939 - Point 4</v>
          </cell>
        </row>
        <row r="120">
          <cell r="A120" t="str">
            <v>Professor  - Code: 7939 - Point 5</v>
          </cell>
        </row>
        <row r="121">
          <cell r="A121" t="str">
            <v>Professor  - Code: 7939 - Point 6</v>
          </cell>
        </row>
        <row r="122">
          <cell r="A122" t="str">
            <v>Professor  - Code: 7938 - Point 1</v>
          </cell>
        </row>
        <row r="123">
          <cell r="A123" t="str">
            <v>Professor  - Code: 7938 - Point 2</v>
          </cell>
        </row>
        <row r="124">
          <cell r="A124" t="str">
            <v>Professor  - Code: 7938 - Point 3</v>
          </cell>
        </row>
        <row r="125">
          <cell r="A125" t="str">
            <v>Professor  - Code: 7938 - Point 4</v>
          </cell>
        </row>
        <row r="126">
          <cell r="A126" t="str">
            <v>Professor  - Code: 7938 - Point 5</v>
          </cell>
        </row>
        <row r="127">
          <cell r="A127" t="str">
            <v xml:space="preserve">Professor  - Code: 7938 - Point 6 </v>
          </cell>
        </row>
        <row r="128">
          <cell r="A128" t="str">
            <v>Associate Professor  - Code: 7941 - Point 1</v>
          </cell>
        </row>
        <row r="129">
          <cell r="A129" t="str">
            <v>Associate Professor  - Code: 7941 - Point 2</v>
          </cell>
        </row>
        <row r="130">
          <cell r="A130" t="str">
            <v>Associate Professor  - Code: 7941 - Point 3</v>
          </cell>
        </row>
        <row r="131">
          <cell r="A131" t="str">
            <v>Associate Professor  - Code: 7941 - Point 4</v>
          </cell>
        </row>
        <row r="132">
          <cell r="A132" t="str">
            <v>Associate Professor  - Code: 7941 - Point 5</v>
          </cell>
        </row>
        <row r="133">
          <cell r="A133" t="str">
            <v>Associate Professor  - Code: 7941 - Point 6</v>
          </cell>
        </row>
        <row r="134">
          <cell r="A134" t="str">
            <v>Associate Professor  - Code: 7941 - Point 7</v>
          </cell>
        </row>
        <row r="135">
          <cell r="A135" t="str">
            <v xml:space="preserve">Associate Professor  - Code: 7941 - Point 8 </v>
          </cell>
        </row>
        <row r="136">
          <cell r="A136" t="str">
            <v>Associate Professor  - Code: 7940 - Point 1</v>
          </cell>
        </row>
        <row r="137">
          <cell r="A137" t="str">
            <v>Associate Professor  - Code: 7940 - Point 2</v>
          </cell>
        </row>
        <row r="138">
          <cell r="A138" t="str">
            <v>Associate Professor  - Code: 7940 - Point 3</v>
          </cell>
        </row>
        <row r="139">
          <cell r="A139" t="str">
            <v xml:space="preserve">Associate Professor  - Code: 7940 - Point 4 </v>
          </cell>
        </row>
        <row r="140">
          <cell r="A140" t="str">
            <v xml:space="preserve">Associate Professor  - Code: 7940 - Point 5 </v>
          </cell>
        </row>
        <row r="141">
          <cell r="A141" t="str">
            <v xml:space="preserve">Associate Professor  - Code: 7940 - Point 6 </v>
          </cell>
        </row>
        <row r="142">
          <cell r="A142" t="str">
            <v xml:space="preserve">Associate Professor  - Code: 7940 - Point 7 </v>
          </cell>
        </row>
        <row r="143">
          <cell r="A143" t="str">
            <v xml:space="preserve">Associate Professor  - Code: 7940 - Point 8 </v>
          </cell>
        </row>
        <row r="144">
          <cell r="A144" t="str">
            <v>Lecturer/Asst Prof above the bar  - Code: 7943 - Point 1</v>
          </cell>
        </row>
        <row r="145">
          <cell r="A145" t="str">
            <v>Lecturer/Asst Prof above the bar  - Code: 7943 - Point 2</v>
          </cell>
        </row>
        <row r="146">
          <cell r="A146" t="str">
            <v>Lecturer/Asst Prof above the bar  - Code: 7943 - Point 3</v>
          </cell>
        </row>
        <row r="147">
          <cell r="A147" t="str">
            <v xml:space="preserve">Lecturer/Asst Prof above the bar  - Code: 7943 - Point 4 </v>
          </cell>
        </row>
        <row r="148">
          <cell r="A148" t="str">
            <v>Lecturer/Asst Prof above the bar  - Code: 7943 - Point 5</v>
          </cell>
        </row>
        <row r="149">
          <cell r="A149" t="str">
            <v>Lecturer/Asst Prof above the bar  - Code: 7943 - Point 6</v>
          </cell>
        </row>
        <row r="150">
          <cell r="A150" t="str">
            <v xml:space="preserve">Lecturer/Asst Prof above the bar  - Code: 7943 - Point 7 </v>
          </cell>
        </row>
        <row r="151">
          <cell r="A151" t="str">
            <v>Lecturer/Asst Prof above the bar  - Code: 7942 - Point 1</v>
          </cell>
        </row>
        <row r="152">
          <cell r="A152" t="str">
            <v>Lecturer/Asst Prof above the bar  - Code: 7942 - Point 2</v>
          </cell>
        </row>
        <row r="153">
          <cell r="A153" t="str">
            <v>Lecturer/Asst Prof above the bar  - Code: 7942 - Point 3</v>
          </cell>
        </row>
        <row r="154">
          <cell r="A154" t="str">
            <v xml:space="preserve">Lecturer/Asst Prof above the bar  - Code: 7942 - Point 4 </v>
          </cell>
        </row>
        <row r="155">
          <cell r="A155" t="str">
            <v>Lecturer/Asst Prof above the bar  - Code: 7942 - Point 5</v>
          </cell>
        </row>
        <row r="156">
          <cell r="A156" t="str">
            <v xml:space="preserve">Lecturer/Asst Prof above the bar  - Code: 7942 - Point 6 </v>
          </cell>
        </row>
        <row r="157">
          <cell r="A157" t="str">
            <v xml:space="preserve">Lecturer/Asst Prof above the bar  - Code: 7942 - Point 7 </v>
          </cell>
        </row>
        <row r="158">
          <cell r="A158" t="str">
            <v>Lecturer/Asst Prof below the bar  - Code: 7944 - Point 1</v>
          </cell>
        </row>
        <row r="159">
          <cell r="A159" t="str">
            <v>Lecturer/Asst Prof below the bar  - Code: 7944 - Point 2</v>
          </cell>
        </row>
        <row r="160">
          <cell r="A160" t="str">
            <v>Lecturer/Asst Prof below the bar  - Code: 7944 - Point 3</v>
          </cell>
        </row>
        <row r="161">
          <cell r="A161" t="str">
            <v>Lecturer/Asst Prof below the bar  - Code: 7944 - Point 4</v>
          </cell>
        </row>
        <row r="162">
          <cell r="A162" t="str">
            <v>Lecturer/Asst Prof below the bar  - Code: 7944 - Point 5</v>
          </cell>
        </row>
        <row r="163">
          <cell r="A163" t="str">
            <v xml:space="preserve">Lecturer/Asst Prof below the bar  - Code: 7944 - Point 6 </v>
          </cell>
        </row>
        <row r="164">
          <cell r="A164" t="str">
            <v xml:space="preserve">Lecturer/Asst Prof below the bar  - Code: 7944 - Point 7 </v>
          </cell>
        </row>
        <row r="165">
          <cell r="A165" t="str">
            <v xml:space="preserve">Lecturer/Asst Prof below the bar  - Code: 7944 - Point 8 </v>
          </cell>
        </row>
        <row r="166">
          <cell r="A166" t="str">
            <v xml:space="preserve">Lecturer/Asst Prof below the bar  - Code: 7944 - Point 9 </v>
          </cell>
        </row>
        <row r="167">
          <cell r="A167" t="str">
            <v>Lecturer/Asst Prof below the bar  - Code: 7944 - Point 10</v>
          </cell>
        </row>
        <row r="168">
          <cell r="A168" t="str">
            <v>Lecturer/Asst Prof below the bar  - Code: 7944 - Point 11</v>
          </cell>
        </row>
        <row r="169">
          <cell r="A169" t="str">
            <v>Lecturer/Asst Prof below the bar  - Code: 7944 - Point 12</v>
          </cell>
        </row>
        <row r="170">
          <cell r="A170" t="str">
            <v>Lecturer/Asst Prof below the bar  - Code: 7944 - Point 13</v>
          </cell>
        </row>
        <row r="171">
          <cell r="A171" t="str">
            <v>Lecturer/Asst Prof below the bar  - Code: 7944 - Point 14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refreshError="1"/>
      <sheetData sheetId="4">
        <row r="5">
          <cell r="B5">
            <v>23223.200000000001</v>
          </cell>
        </row>
        <row r="12">
          <cell r="B12">
            <v>5000</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sheetData sheetId="4">
        <row r="5">
          <cell r="B5">
            <v>23223.200000000001</v>
          </cell>
        </row>
      </sheetData>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Budget"/>
      <sheetName val="Working"/>
      <sheetName val="1E - Monthly rate - All Posts"/>
    </sheetNames>
    <sheetDataSet>
      <sheetData sheetId="0">
        <row r="32">
          <cell r="A32">
            <v>0</v>
          </cell>
          <cell r="B32" t="str">
            <v>Total Non Computer</v>
          </cell>
          <cell r="D32">
            <v>0</v>
          </cell>
          <cell r="E32">
            <v>0</v>
          </cell>
          <cell r="F32">
            <v>0</v>
          </cell>
          <cell r="G32">
            <v>0</v>
          </cell>
          <cell r="H32">
            <v>0</v>
          </cell>
        </row>
        <row r="33">
          <cell r="A33" t="str">
            <v>B. Total Equipment</v>
          </cell>
          <cell r="B33">
            <v>0</v>
          </cell>
          <cell r="C33">
            <v>0</v>
          </cell>
          <cell r="D33">
            <v>0</v>
          </cell>
          <cell r="E33">
            <v>0</v>
          </cell>
          <cell r="F33">
            <v>0</v>
          </cell>
          <cell r="G33">
            <v>0</v>
          </cell>
          <cell r="H33">
            <v>0</v>
          </cell>
        </row>
        <row r="49">
          <cell r="D49">
            <v>0</v>
          </cell>
          <cell r="E49">
            <v>0</v>
          </cell>
          <cell r="F49">
            <v>0</v>
          </cell>
          <cell r="G49">
            <v>0</v>
          </cell>
        </row>
        <row r="50">
          <cell r="A50" t="str">
            <v>For assistance see UCD Per Diem Rates</v>
          </cell>
          <cell r="D50">
            <v>0</v>
          </cell>
          <cell r="E50">
            <v>0</v>
          </cell>
          <cell r="F50">
            <v>0</v>
          </cell>
          <cell r="G50">
            <v>0</v>
          </cell>
        </row>
        <row r="51">
          <cell r="A51" t="str">
            <v>Travel</v>
          </cell>
          <cell r="B51" t="str">
            <v>Yr1 Time</v>
          </cell>
          <cell r="D51">
            <v>0</v>
          </cell>
          <cell r="E51">
            <v>0</v>
          </cell>
          <cell r="F51">
            <v>0</v>
          </cell>
          <cell r="G51">
            <v>0</v>
          </cell>
          <cell r="H51">
            <v>0</v>
          </cell>
        </row>
        <row r="52">
          <cell r="A52">
            <v>0</v>
          </cell>
          <cell r="B52" t="str">
            <v>Yr2 Time</v>
          </cell>
          <cell r="D52">
            <v>0</v>
          </cell>
          <cell r="E52">
            <v>0</v>
          </cell>
          <cell r="F52">
            <v>0</v>
          </cell>
          <cell r="G52">
            <v>0</v>
          </cell>
          <cell r="H52">
            <v>0</v>
          </cell>
        </row>
        <row r="53">
          <cell r="A53">
            <v>0</v>
          </cell>
          <cell r="B53" t="str">
            <v>Yr3 Time</v>
          </cell>
          <cell r="D53">
            <v>0</v>
          </cell>
          <cell r="E53">
            <v>0</v>
          </cell>
          <cell r="F53">
            <v>0</v>
          </cell>
          <cell r="G53">
            <v>0</v>
          </cell>
          <cell r="H53">
            <v>0</v>
          </cell>
        </row>
        <row r="54">
          <cell r="A54">
            <v>0</v>
          </cell>
          <cell r="B54" t="str">
            <v>Yr4 Time</v>
          </cell>
          <cell r="D54">
            <v>0</v>
          </cell>
          <cell r="E54">
            <v>0</v>
          </cell>
          <cell r="F54">
            <v>0</v>
          </cell>
          <cell r="G54">
            <v>0</v>
          </cell>
          <cell r="H54">
            <v>0</v>
          </cell>
        </row>
        <row r="55">
          <cell r="A55">
            <v>0</v>
          </cell>
          <cell r="B55" t="str">
            <v>Yr5 Time</v>
          </cell>
          <cell r="D55">
            <v>0</v>
          </cell>
          <cell r="E55">
            <v>0</v>
          </cell>
          <cell r="F55">
            <v>0</v>
          </cell>
          <cell r="G55">
            <v>0</v>
          </cell>
          <cell r="H55">
            <v>0</v>
          </cell>
        </row>
        <row r="56">
          <cell r="A56" t="str">
            <v>C. Travel Total</v>
          </cell>
          <cell r="B56">
            <v>0</v>
          </cell>
          <cell r="C56">
            <v>0</v>
          </cell>
          <cell r="D56">
            <v>0</v>
          </cell>
          <cell r="E56">
            <v>0</v>
          </cell>
          <cell r="F56">
            <v>0</v>
          </cell>
          <cell r="G56">
            <v>0</v>
          </cell>
          <cell r="H56">
            <v>0</v>
          </cell>
        </row>
        <row r="57">
          <cell r="D57">
            <v>0</v>
          </cell>
          <cell r="E57">
            <v>0</v>
          </cell>
          <cell r="F57">
            <v>0</v>
          </cell>
          <cell r="G57">
            <v>0</v>
          </cell>
        </row>
        <row r="58">
          <cell r="A58" t="str">
            <v>Consumables (Less VAT)</v>
          </cell>
          <cell r="B58" t="str">
            <v>Yr1 Time</v>
          </cell>
          <cell r="D58">
            <v>0</v>
          </cell>
          <cell r="E58">
            <v>0</v>
          </cell>
          <cell r="F58">
            <v>0</v>
          </cell>
          <cell r="G58">
            <v>0</v>
          </cell>
          <cell r="H58">
            <v>0</v>
          </cell>
        </row>
        <row r="59">
          <cell r="B59" t="str">
            <v>Yr2 Time</v>
          </cell>
          <cell r="D59">
            <v>0</v>
          </cell>
          <cell r="E59">
            <v>0</v>
          </cell>
          <cell r="F59">
            <v>0</v>
          </cell>
          <cell r="G59">
            <v>0</v>
          </cell>
          <cell r="H59">
            <v>0</v>
          </cell>
        </row>
        <row r="60">
          <cell r="B60" t="str">
            <v>Yr3 Time</v>
          </cell>
          <cell r="D60">
            <v>0</v>
          </cell>
          <cell r="E60">
            <v>0</v>
          </cell>
          <cell r="F60">
            <v>0</v>
          </cell>
          <cell r="G60">
            <v>0</v>
          </cell>
          <cell r="H60">
            <v>0</v>
          </cell>
        </row>
        <row r="61">
          <cell r="B61" t="str">
            <v>Yr4 Time</v>
          </cell>
          <cell r="D61">
            <v>0</v>
          </cell>
          <cell r="E61">
            <v>0</v>
          </cell>
          <cell r="F61">
            <v>0</v>
          </cell>
          <cell r="G61">
            <v>0</v>
          </cell>
          <cell r="H61">
            <v>0</v>
          </cell>
        </row>
        <row r="62">
          <cell r="B62" t="str">
            <v>Yr5 Time</v>
          </cell>
          <cell r="D62">
            <v>0</v>
          </cell>
          <cell r="E62">
            <v>0</v>
          </cell>
          <cell r="F62">
            <v>0</v>
          </cell>
          <cell r="G62">
            <v>0</v>
          </cell>
          <cell r="H62">
            <v>0</v>
          </cell>
        </row>
        <row r="63">
          <cell r="A63" t="str">
            <v>D. Consumables Total</v>
          </cell>
          <cell r="B63">
            <v>0</v>
          </cell>
          <cell r="C63">
            <v>0</v>
          </cell>
          <cell r="D63">
            <v>0</v>
          </cell>
          <cell r="E63">
            <v>0</v>
          </cell>
          <cell r="F63">
            <v>0</v>
          </cell>
          <cell r="G63">
            <v>0</v>
          </cell>
          <cell r="H63">
            <v>0</v>
          </cell>
        </row>
        <row r="64">
          <cell r="D64">
            <v>0</v>
          </cell>
          <cell r="E64">
            <v>0</v>
          </cell>
          <cell r="F64">
            <v>0</v>
          </cell>
          <cell r="G64">
            <v>0</v>
          </cell>
        </row>
        <row r="65">
          <cell r="A65" t="str">
            <v>Office Supplies</v>
          </cell>
          <cell r="B65" t="str">
            <v>Yr1 Time</v>
          </cell>
          <cell r="D65">
            <v>0</v>
          </cell>
          <cell r="E65">
            <v>0</v>
          </cell>
          <cell r="F65">
            <v>0</v>
          </cell>
          <cell r="G65">
            <v>0</v>
          </cell>
          <cell r="H65">
            <v>0</v>
          </cell>
        </row>
        <row r="66">
          <cell r="B66" t="str">
            <v>Yr2 Time</v>
          </cell>
          <cell r="D66">
            <v>0</v>
          </cell>
          <cell r="E66">
            <v>0</v>
          </cell>
          <cell r="F66">
            <v>0</v>
          </cell>
          <cell r="G66">
            <v>0</v>
          </cell>
          <cell r="H66">
            <v>0</v>
          </cell>
        </row>
        <row r="67">
          <cell r="B67" t="str">
            <v>Yr3 Time</v>
          </cell>
          <cell r="D67">
            <v>0</v>
          </cell>
          <cell r="E67">
            <v>0</v>
          </cell>
          <cell r="F67">
            <v>0</v>
          </cell>
          <cell r="G67">
            <v>0</v>
          </cell>
          <cell r="H67">
            <v>0</v>
          </cell>
        </row>
        <row r="68">
          <cell r="B68" t="str">
            <v>Yr4 Time</v>
          </cell>
          <cell r="D68">
            <v>0</v>
          </cell>
          <cell r="E68">
            <v>0</v>
          </cell>
          <cell r="F68">
            <v>0</v>
          </cell>
          <cell r="G68">
            <v>0</v>
          </cell>
          <cell r="H68">
            <v>0</v>
          </cell>
        </row>
        <row r="69">
          <cell r="B69" t="str">
            <v>Yr5 Time</v>
          </cell>
          <cell r="D69">
            <v>0</v>
          </cell>
          <cell r="E69">
            <v>0</v>
          </cell>
          <cell r="F69">
            <v>0</v>
          </cell>
          <cell r="G69">
            <v>0</v>
          </cell>
          <cell r="H69">
            <v>0</v>
          </cell>
        </row>
        <row r="70">
          <cell r="A70" t="str">
            <v>E Office Supplies Total</v>
          </cell>
          <cell r="B70">
            <v>0</v>
          </cell>
          <cell r="C70">
            <v>0</v>
          </cell>
          <cell r="D70">
            <v>0</v>
          </cell>
          <cell r="E70">
            <v>0</v>
          </cell>
          <cell r="F70">
            <v>0</v>
          </cell>
          <cell r="G70">
            <v>0</v>
          </cell>
          <cell r="H70">
            <v>0</v>
          </cell>
        </row>
        <row r="71">
          <cell r="D71">
            <v>0</v>
          </cell>
          <cell r="E71">
            <v>0</v>
          </cell>
          <cell r="F71">
            <v>0</v>
          </cell>
          <cell r="G71">
            <v>0</v>
          </cell>
        </row>
        <row r="72">
          <cell r="A72" t="str">
            <v>Other</v>
          </cell>
          <cell r="B72" t="str">
            <v>Yr1 Time</v>
          </cell>
          <cell r="D72">
            <v>0</v>
          </cell>
          <cell r="E72">
            <v>0</v>
          </cell>
          <cell r="F72">
            <v>0</v>
          </cell>
          <cell r="G72">
            <v>0</v>
          </cell>
          <cell r="H72">
            <v>0</v>
          </cell>
        </row>
        <row r="73">
          <cell r="B73" t="str">
            <v>Yr2 Time</v>
          </cell>
          <cell r="D73">
            <v>0</v>
          </cell>
          <cell r="E73">
            <v>0</v>
          </cell>
          <cell r="F73">
            <v>0</v>
          </cell>
          <cell r="G73">
            <v>0</v>
          </cell>
          <cell r="H73">
            <v>0</v>
          </cell>
        </row>
        <row r="74">
          <cell r="B74" t="str">
            <v>Yr3 Time</v>
          </cell>
          <cell r="D74">
            <v>0</v>
          </cell>
          <cell r="E74">
            <v>0</v>
          </cell>
          <cell r="F74">
            <v>0</v>
          </cell>
          <cell r="G74">
            <v>0</v>
          </cell>
          <cell r="H74">
            <v>0</v>
          </cell>
        </row>
        <row r="75">
          <cell r="A75" t="str">
            <v>Conference</v>
          </cell>
          <cell r="B75" t="str">
            <v>Yr4 Time</v>
          </cell>
          <cell r="D75">
            <v>0</v>
          </cell>
          <cell r="E75">
            <v>0</v>
          </cell>
          <cell r="F75">
            <v>0</v>
          </cell>
          <cell r="G75">
            <v>0</v>
          </cell>
          <cell r="H75">
            <v>0</v>
          </cell>
        </row>
        <row r="76">
          <cell r="B76" t="str">
            <v>Yr5 Time</v>
          </cell>
          <cell r="D76">
            <v>0</v>
          </cell>
          <cell r="E76">
            <v>0</v>
          </cell>
          <cell r="F76">
            <v>0</v>
          </cell>
          <cell r="G76">
            <v>0</v>
          </cell>
          <cell r="H76">
            <v>0</v>
          </cell>
        </row>
        <row r="77">
          <cell r="A77" t="str">
            <v>F. Other Total</v>
          </cell>
          <cell r="B77">
            <v>0</v>
          </cell>
          <cell r="C77">
            <v>0</v>
          </cell>
          <cell r="D77">
            <v>0</v>
          </cell>
          <cell r="E77">
            <v>0</v>
          </cell>
          <cell r="F77">
            <v>0</v>
          </cell>
          <cell r="G77">
            <v>0</v>
          </cell>
          <cell r="H77">
            <v>0</v>
          </cell>
        </row>
        <row r="78">
          <cell r="D78">
            <v>0</v>
          </cell>
          <cell r="E78">
            <v>0</v>
          </cell>
          <cell r="F78">
            <v>0</v>
          </cell>
          <cell r="G78">
            <v>0</v>
          </cell>
        </row>
        <row r="79">
          <cell r="A79" t="str">
            <v>Subcontracting</v>
          </cell>
          <cell r="B79" t="str">
            <v>Yr1 Time</v>
          </cell>
          <cell r="D79">
            <v>0</v>
          </cell>
          <cell r="E79">
            <v>0</v>
          </cell>
          <cell r="F79">
            <v>0</v>
          </cell>
          <cell r="G79">
            <v>0</v>
          </cell>
          <cell r="H79">
            <v>0</v>
          </cell>
        </row>
        <row r="80">
          <cell r="B80" t="str">
            <v>Yr2 Time</v>
          </cell>
          <cell r="D80">
            <v>0</v>
          </cell>
          <cell r="E80">
            <v>0</v>
          </cell>
          <cell r="F80">
            <v>0</v>
          </cell>
          <cell r="G80">
            <v>0</v>
          </cell>
          <cell r="H80">
            <v>0</v>
          </cell>
        </row>
        <row r="81">
          <cell r="B81" t="str">
            <v>Yr3 Time</v>
          </cell>
          <cell r="D81">
            <v>0</v>
          </cell>
          <cell r="E81">
            <v>0</v>
          </cell>
          <cell r="F81">
            <v>0</v>
          </cell>
          <cell r="G81">
            <v>0</v>
          </cell>
          <cell r="H81">
            <v>0</v>
          </cell>
        </row>
        <row r="82">
          <cell r="B82" t="str">
            <v>Yr4 Time</v>
          </cell>
          <cell r="D82">
            <v>0</v>
          </cell>
          <cell r="E82">
            <v>0</v>
          </cell>
          <cell r="F82">
            <v>0</v>
          </cell>
          <cell r="G82">
            <v>0</v>
          </cell>
          <cell r="H82">
            <v>0</v>
          </cell>
        </row>
        <row r="83">
          <cell r="B83" t="str">
            <v>Yr5 Time</v>
          </cell>
          <cell r="D83">
            <v>0</v>
          </cell>
          <cell r="E83">
            <v>0</v>
          </cell>
          <cell r="F83">
            <v>0</v>
          </cell>
          <cell r="G83">
            <v>0</v>
          </cell>
          <cell r="H83">
            <v>0</v>
          </cell>
        </row>
        <row r="84">
          <cell r="A84" t="str">
            <v>G. Subcontracting Total</v>
          </cell>
          <cell r="B84">
            <v>0</v>
          </cell>
          <cell r="C84">
            <v>0</v>
          </cell>
          <cell r="D84">
            <v>0</v>
          </cell>
          <cell r="E84">
            <v>0</v>
          </cell>
          <cell r="F84">
            <v>0</v>
          </cell>
          <cell r="G84">
            <v>0</v>
          </cell>
          <cell r="H84">
            <v>0</v>
          </cell>
        </row>
        <row r="86">
          <cell r="A86" t="str">
            <v>H. Total Direct Costs (A+B+C+D+E+F+G)</v>
          </cell>
          <cell r="D86" t="e">
            <v>#REF!</v>
          </cell>
          <cell r="E86" t="e">
            <v>#REF!</v>
          </cell>
          <cell r="F86" t="e">
            <v>#REF!</v>
          </cell>
          <cell r="G86" t="e">
            <v>#REF!</v>
          </cell>
          <cell r="H86" t="e">
            <v>#REF!</v>
          </cell>
        </row>
        <row r="87">
          <cell r="A87">
            <v>0</v>
          </cell>
        </row>
        <row r="88">
          <cell r="A88" t="str">
            <v>I. Indirect Costs (60% x (H-G))</v>
          </cell>
          <cell r="B88">
            <v>0.6</v>
          </cell>
          <cell r="D88" t="e">
            <v>#REF!</v>
          </cell>
          <cell r="E88" t="e">
            <v>#REF!</v>
          </cell>
          <cell r="F88" t="e">
            <v>#REF!</v>
          </cell>
          <cell r="G88" t="e">
            <v>#REF!</v>
          </cell>
          <cell r="H88" t="e">
            <v>#REF!</v>
          </cell>
        </row>
        <row r="89">
          <cell r="A89">
            <v>0</v>
          </cell>
        </row>
        <row r="90">
          <cell r="A90" t="str">
            <v>J. Total Eligible Costs (H+I)</v>
          </cell>
          <cell r="D90" t="e">
            <v>#REF!</v>
          </cell>
          <cell r="E90" t="e">
            <v>#REF!</v>
          </cell>
          <cell r="F90" t="e">
            <v>#REF!</v>
          </cell>
          <cell r="G90" t="e">
            <v>#REF!</v>
          </cell>
          <cell r="H90" t="e">
            <v>#REF!</v>
          </cell>
        </row>
        <row r="91">
          <cell r="B91">
            <v>0</v>
          </cell>
          <cell r="C91">
            <v>0</v>
          </cell>
          <cell r="D91">
            <v>0</v>
          </cell>
          <cell r="E91">
            <v>0</v>
          </cell>
          <cell r="F91">
            <v>0</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del"/>
      <sheetName val="Parameters"/>
      <sheetName val="PermStaffSalary"/>
      <sheetName val="AddStaffSalary"/>
      <sheetName val="GRF Data"/>
      <sheetName val="UCD PerDiemRates"/>
      <sheetName val="Budget Proposal Summary"/>
    </sheetNames>
    <sheetDataSet>
      <sheetData sheetId="0"/>
      <sheetData sheetId="1"/>
      <sheetData sheetId="2"/>
      <sheetData sheetId="3">
        <row r="1">
          <cell r="A1" t="str">
            <v>PerStaffCategory</v>
          </cell>
        </row>
        <row r="2">
          <cell r="A2" t="str">
            <v>ACADEMIC</v>
          </cell>
        </row>
        <row r="3">
          <cell r="A3" t="str">
            <v>ACADEMIC</v>
          </cell>
        </row>
        <row r="4">
          <cell r="A4" t="str">
            <v>ACADEMIC</v>
          </cell>
        </row>
        <row r="5">
          <cell r="A5" t="str">
            <v>ACADEMIC</v>
          </cell>
        </row>
        <row r="6">
          <cell r="A6" t="str">
            <v>ACADEMIC</v>
          </cell>
        </row>
        <row r="7">
          <cell r="A7" t="str">
            <v>ACADEMIC</v>
          </cell>
        </row>
        <row r="8">
          <cell r="A8" t="str">
            <v>ACADEMIC</v>
          </cell>
        </row>
        <row r="9">
          <cell r="A9" t="str">
            <v>ACADEMIC</v>
          </cell>
        </row>
        <row r="10">
          <cell r="A10" t="str">
            <v>ACADEMIC</v>
          </cell>
        </row>
        <row r="11">
          <cell r="A11" t="str">
            <v>ACADEMIC</v>
          </cell>
        </row>
        <row r="12">
          <cell r="A12" t="str">
            <v>ACADEMIC</v>
          </cell>
        </row>
        <row r="13">
          <cell r="A13" t="str">
            <v>ACADEMIC</v>
          </cell>
        </row>
        <row r="14">
          <cell r="A14" t="str">
            <v>ACADEMIC</v>
          </cell>
        </row>
        <row r="15">
          <cell r="A15" t="str">
            <v>ACADEMIC</v>
          </cell>
        </row>
        <row r="16">
          <cell r="A16" t="str">
            <v>ACADEMIC</v>
          </cell>
        </row>
        <row r="17">
          <cell r="A17" t="str">
            <v>ACADEMIC</v>
          </cell>
        </row>
        <row r="18">
          <cell r="A18" t="str">
            <v>ACADEMIC</v>
          </cell>
        </row>
        <row r="19">
          <cell r="A19" t="str">
            <v>ACADEMIC</v>
          </cell>
        </row>
        <row r="20">
          <cell r="A20" t="str">
            <v>ACADEMIC</v>
          </cell>
        </row>
        <row r="21">
          <cell r="A21" t="str">
            <v>ACADEMIC</v>
          </cell>
        </row>
        <row r="22">
          <cell r="A22" t="str">
            <v>ACADEMIC</v>
          </cell>
        </row>
        <row r="23">
          <cell r="A23" t="str">
            <v>ACADEMIC</v>
          </cell>
        </row>
        <row r="24">
          <cell r="A24" t="str">
            <v>ACADEMIC</v>
          </cell>
        </row>
        <row r="25">
          <cell r="A25" t="str">
            <v>ACADEMIC</v>
          </cell>
        </row>
        <row r="26">
          <cell r="A26" t="str">
            <v>ACADEMIC</v>
          </cell>
        </row>
        <row r="27">
          <cell r="A27" t="str">
            <v>ACADEMIC</v>
          </cell>
        </row>
        <row r="28">
          <cell r="A28" t="str">
            <v>ACADEMIC</v>
          </cell>
        </row>
        <row r="29">
          <cell r="A29" t="str">
            <v>ACADEMIC</v>
          </cell>
        </row>
        <row r="30">
          <cell r="A30" t="str">
            <v>ACADEMIC</v>
          </cell>
        </row>
        <row r="31">
          <cell r="A31" t="str">
            <v>ACADEMIC</v>
          </cell>
        </row>
        <row r="32">
          <cell r="A32" t="str">
            <v>ACADEMIC</v>
          </cell>
        </row>
        <row r="33">
          <cell r="A33" t="str">
            <v>ACADEMIC</v>
          </cell>
        </row>
        <row r="34">
          <cell r="A34" t="str">
            <v>ACADEMIC</v>
          </cell>
        </row>
        <row r="35">
          <cell r="A35" t="str">
            <v>ACADEMIC</v>
          </cell>
        </row>
        <row r="36">
          <cell r="A36" t="str">
            <v>ACADEMIC</v>
          </cell>
        </row>
        <row r="37">
          <cell r="A37" t="str">
            <v>ACADEMIC</v>
          </cell>
        </row>
        <row r="38">
          <cell r="A38" t="str">
            <v>ACADEMIC</v>
          </cell>
        </row>
        <row r="39">
          <cell r="A39" t="str">
            <v>ACADEMIC</v>
          </cell>
        </row>
        <row r="40">
          <cell r="A40" t="str">
            <v>ACADEMIC</v>
          </cell>
        </row>
        <row r="41">
          <cell r="A41" t="str">
            <v>ACADEMIC</v>
          </cell>
        </row>
        <row r="42">
          <cell r="A42" t="str">
            <v>ACADEMIC</v>
          </cell>
        </row>
        <row r="43">
          <cell r="A43" t="str">
            <v>ACADEMIC</v>
          </cell>
        </row>
        <row r="44">
          <cell r="A44" t="str">
            <v>ACADEMIC</v>
          </cell>
        </row>
        <row r="45">
          <cell r="A45" t="str">
            <v>ACADEMIC</v>
          </cell>
        </row>
        <row r="46">
          <cell r="A46" t="str">
            <v>ACADEMIC</v>
          </cell>
        </row>
        <row r="47">
          <cell r="A47" t="str">
            <v>ACADEMIC</v>
          </cell>
        </row>
        <row r="48">
          <cell r="A48" t="str">
            <v>ACADEMIC</v>
          </cell>
        </row>
        <row r="49">
          <cell r="A49" t="str">
            <v>ACADEMIC</v>
          </cell>
        </row>
        <row r="50">
          <cell r="A50" t="str">
            <v>ACADEMIC</v>
          </cell>
        </row>
        <row r="51">
          <cell r="A51" t="str">
            <v>ACADEMIC</v>
          </cell>
        </row>
        <row r="52">
          <cell r="A52" t="str">
            <v>ACADEMIC</v>
          </cell>
        </row>
        <row r="53">
          <cell r="A53" t="str">
            <v>ACADEMIC</v>
          </cell>
        </row>
        <row r="54">
          <cell r="A54" t="str">
            <v>ACADEMIC</v>
          </cell>
        </row>
        <row r="55">
          <cell r="A55" t="str">
            <v>ACADEMIC</v>
          </cell>
        </row>
        <row r="56">
          <cell r="A56" t="str">
            <v>ACADEMIC</v>
          </cell>
        </row>
        <row r="57">
          <cell r="A57" t="str">
            <v>ACADEMIC</v>
          </cell>
        </row>
        <row r="58">
          <cell r="A58" t="str">
            <v>ACADEMIC</v>
          </cell>
        </row>
        <row r="59">
          <cell r="A59" t="str">
            <v>ACADEMIC</v>
          </cell>
        </row>
        <row r="60">
          <cell r="A60" t="str">
            <v>ACADEMIC</v>
          </cell>
        </row>
        <row r="61">
          <cell r="A61" t="str">
            <v>ACADEMIC</v>
          </cell>
        </row>
        <row r="62">
          <cell r="A62" t="str">
            <v>ACADEMIC</v>
          </cell>
        </row>
        <row r="63">
          <cell r="A63" t="str">
            <v>ACADEMIC</v>
          </cell>
        </row>
        <row r="64">
          <cell r="A64" t="str">
            <v>ACADEMIC</v>
          </cell>
        </row>
        <row r="65">
          <cell r="A65" t="str">
            <v>ACADEMIC</v>
          </cell>
        </row>
        <row r="66">
          <cell r="A66" t="str">
            <v>ACADEMIC</v>
          </cell>
        </row>
        <row r="67">
          <cell r="A67" t="str">
            <v>ACADEMIC</v>
          </cell>
        </row>
        <row r="68">
          <cell r="A68" t="str">
            <v>ACADEMIC</v>
          </cell>
        </row>
        <row r="69">
          <cell r="A69" t="str">
            <v>ACADEMIC</v>
          </cell>
        </row>
        <row r="70">
          <cell r="A70" t="str">
            <v>ACADEMIC</v>
          </cell>
        </row>
        <row r="71">
          <cell r="A71" t="str">
            <v>ACADEMIC</v>
          </cell>
        </row>
        <row r="72">
          <cell r="A72" t="str">
            <v>ACADEMIC</v>
          </cell>
        </row>
        <row r="73">
          <cell r="A73" t="str">
            <v>ACADEMIC</v>
          </cell>
        </row>
        <row r="74">
          <cell r="A74" t="str">
            <v>ACADEMIC</v>
          </cell>
        </row>
        <row r="75">
          <cell r="A75" t="str">
            <v>ACADEMIC</v>
          </cell>
        </row>
        <row r="76">
          <cell r="A76" t="str">
            <v>ACADEMIC</v>
          </cell>
        </row>
        <row r="77">
          <cell r="A77" t="str">
            <v>ACADEMIC</v>
          </cell>
        </row>
        <row r="78">
          <cell r="A78" t="str">
            <v>ACADEMIC</v>
          </cell>
        </row>
        <row r="79">
          <cell r="A79" t="str">
            <v>ACADEMIC</v>
          </cell>
        </row>
        <row r="80">
          <cell r="A80" t="str">
            <v>ACADEMIC</v>
          </cell>
        </row>
        <row r="81">
          <cell r="A81" t="str">
            <v>ACADEMIC</v>
          </cell>
        </row>
        <row r="82">
          <cell r="A82" t="str">
            <v>ACADEMIC</v>
          </cell>
        </row>
        <row r="83">
          <cell r="A83" t="str">
            <v>ADMINISTRATIVE</v>
          </cell>
        </row>
        <row r="84">
          <cell r="A84" t="str">
            <v>ADMINISTRATIVE</v>
          </cell>
        </row>
        <row r="85">
          <cell r="A85" t="str">
            <v>ADMINISTRATIVE</v>
          </cell>
        </row>
        <row r="86">
          <cell r="A86" t="str">
            <v>ADMINISTRATIVE</v>
          </cell>
        </row>
        <row r="87">
          <cell r="A87" t="str">
            <v>ADMINISTRATIVE</v>
          </cell>
        </row>
        <row r="88">
          <cell r="A88" t="str">
            <v>ADMINISTRATIVE</v>
          </cell>
        </row>
        <row r="89">
          <cell r="A89" t="str">
            <v>ADMINISTRATIVE</v>
          </cell>
        </row>
        <row r="90">
          <cell r="A90" t="str">
            <v>ADMINISTRATIVE</v>
          </cell>
        </row>
        <row r="91">
          <cell r="A91" t="str">
            <v>ADMINISTRATIVE</v>
          </cell>
        </row>
        <row r="92">
          <cell r="A92" t="str">
            <v>ADMINISTRATIVE</v>
          </cell>
        </row>
        <row r="93">
          <cell r="A93" t="str">
            <v>ADMINISTRATIVE</v>
          </cell>
        </row>
        <row r="94">
          <cell r="A94" t="str">
            <v>ADMINISTRATIVE</v>
          </cell>
        </row>
        <row r="95">
          <cell r="A95" t="str">
            <v>ADMINISTRATIVE</v>
          </cell>
        </row>
        <row r="96">
          <cell r="A96" t="str">
            <v>ADMINISTRATIVE</v>
          </cell>
        </row>
        <row r="97">
          <cell r="A97" t="str">
            <v>ADMINISTRATIVE</v>
          </cell>
        </row>
        <row r="98">
          <cell r="A98" t="str">
            <v>ADMINISTRATIVE</v>
          </cell>
        </row>
        <row r="99">
          <cell r="A99" t="str">
            <v>ADMINISTRATIVE</v>
          </cell>
        </row>
        <row r="100">
          <cell r="A100" t="str">
            <v>ADMINISTRATIVE</v>
          </cell>
        </row>
        <row r="101">
          <cell r="A101" t="str">
            <v>ADMINISTRATIVE</v>
          </cell>
        </row>
        <row r="102">
          <cell r="A102" t="str">
            <v>ADMINISTRATIVE</v>
          </cell>
        </row>
        <row r="103">
          <cell r="A103" t="str">
            <v>ADMINISTRATIVE</v>
          </cell>
        </row>
        <row r="104">
          <cell r="A104" t="str">
            <v>ADMINISTRATIVE</v>
          </cell>
        </row>
        <row r="105">
          <cell r="A105" t="str">
            <v>ADMINISTRATIVE</v>
          </cell>
        </row>
        <row r="106">
          <cell r="A106" t="str">
            <v>ADMINISTRATIVE</v>
          </cell>
        </row>
        <row r="107">
          <cell r="A107" t="str">
            <v>ADMINISTRATIVE</v>
          </cell>
        </row>
        <row r="108">
          <cell r="A108" t="str">
            <v>ADMINISTRATIVE</v>
          </cell>
        </row>
        <row r="109">
          <cell r="A109" t="str">
            <v>ADMINISTRATIVE</v>
          </cell>
        </row>
        <row r="110">
          <cell r="A110" t="str">
            <v>ADMINISTRATIVE</v>
          </cell>
        </row>
        <row r="111">
          <cell r="A111" t="str">
            <v>ADMINISTRATIVE</v>
          </cell>
        </row>
        <row r="112">
          <cell r="A112" t="str">
            <v>ADMINISTRATIVE</v>
          </cell>
        </row>
        <row r="113">
          <cell r="A113" t="str">
            <v>ADMINISTRATIVE</v>
          </cell>
        </row>
        <row r="114">
          <cell r="A114" t="str">
            <v>ADMINISTRATIVE</v>
          </cell>
        </row>
        <row r="115">
          <cell r="A115" t="str">
            <v>ADMINISTRATIVE</v>
          </cell>
        </row>
        <row r="116">
          <cell r="A116" t="str">
            <v>ADMINISTRATIVE</v>
          </cell>
        </row>
        <row r="117">
          <cell r="A117" t="str">
            <v>ADMINISTRATIVE</v>
          </cell>
        </row>
        <row r="118">
          <cell r="A118" t="str">
            <v>ADMINISTRATIVE</v>
          </cell>
        </row>
        <row r="119">
          <cell r="A119" t="str">
            <v>ADMINISTRATIVE</v>
          </cell>
        </row>
        <row r="120">
          <cell r="A120" t="str">
            <v>ADMINISTRATIVE</v>
          </cell>
        </row>
        <row r="121">
          <cell r="A121" t="str">
            <v>ADMINISTRATIVE</v>
          </cell>
        </row>
        <row r="122">
          <cell r="A122" t="str">
            <v>ADMINISTRATIVE</v>
          </cell>
        </row>
        <row r="123">
          <cell r="A123" t="str">
            <v>ADMINISTRATIVE</v>
          </cell>
        </row>
        <row r="124">
          <cell r="A124" t="str">
            <v>ADMINISTRATIVE</v>
          </cell>
        </row>
        <row r="125">
          <cell r="A125" t="str">
            <v>ADMINISTRATIVE</v>
          </cell>
        </row>
        <row r="126">
          <cell r="A126" t="str">
            <v>ADMINISTRATIVE</v>
          </cell>
        </row>
        <row r="127">
          <cell r="A127" t="str">
            <v>ADMINISTRATIVE</v>
          </cell>
        </row>
        <row r="128">
          <cell r="A128" t="str">
            <v>ADMINISTRATIVE</v>
          </cell>
        </row>
        <row r="129">
          <cell r="A129" t="str">
            <v>ADMINISTRATIVE</v>
          </cell>
        </row>
        <row r="130">
          <cell r="A130" t="str">
            <v>ADMINISTRATIVE</v>
          </cell>
        </row>
        <row r="131">
          <cell r="A131" t="str">
            <v>ADMINISTRATIVE</v>
          </cell>
        </row>
        <row r="132">
          <cell r="A132" t="str">
            <v>ADMINISTRATIVE</v>
          </cell>
        </row>
        <row r="133">
          <cell r="A133" t="str">
            <v>ADMINISTRATIVE</v>
          </cell>
        </row>
        <row r="134">
          <cell r="A134" t="str">
            <v>ADMINISTRATIVE</v>
          </cell>
        </row>
        <row r="135">
          <cell r="A135" t="str">
            <v>ADMINISTRATIVE</v>
          </cell>
        </row>
        <row r="136">
          <cell r="A136" t="str">
            <v>ADMINISTRATIVE</v>
          </cell>
        </row>
        <row r="137">
          <cell r="A137" t="str">
            <v>ADMINISTRATIVE</v>
          </cell>
        </row>
        <row r="138">
          <cell r="A138" t="str">
            <v>ADMINISTRATIVE</v>
          </cell>
        </row>
        <row r="139">
          <cell r="A139" t="str">
            <v>ADMINISTRATIVE</v>
          </cell>
        </row>
        <row r="140">
          <cell r="A140" t="str">
            <v>ADMINISTRATIVE</v>
          </cell>
        </row>
        <row r="141">
          <cell r="A141" t="str">
            <v>ADMINISTRATIVE</v>
          </cell>
        </row>
        <row r="142">
          <cell r="A142" t="str">
            <v>ADMINISTRATIVE</v>
          </cell>
        </row>
        <row r="143">
          <cell r="A143" t="str">
            <v>ADMINISTRATIVE</v>
          </cell>
        </row>
        <row r="144">
          <cell r="A144" t="str">
            <v>ADMINISTRATIVE</v>
          </cell>
        </row>
        <row r="145">
          <cell r="A145" t="str">
            <v>ADMINISTRATIVE</v>
          </cell>
        </row>
        <row r="146">
          <cell r="A146" t="str">
            <v>ADMINISTRATIVE</v>
          </cell>
        </row>
        <row r="147">
          <cell r="A147" t="str">
            <v>ADMINISTRATIVE</v>
          </cell>
        </row>
        <row r="148">
          <cell r="A148" t="str">
            <v>ADMINISTRATIVE</v>
          </cell>
        </row>
        <row r="149">
          <cell r="A149" t="str">
            <v>ADMINISTRATIVE</v>
          </cell>
        </row>
        <row r="150">
          <cell r="A150" t="str">
            <v>ADMINISTRATIVE</v>
          </cell>
        </row>
        <row r="151">
          <cell r="A151" t="str">
            <v>ADMINISTRATIVE</v>
          </cell>
        </row>
        <row r="152">
          <cell r="A152" t="str">
            <v>ADMINISTRATIVE</v>
          </cell>
        </row>
        <row r="153">
          <cell r="A153" t="str">
            <v>ADMINISTRATIVE</v>
          </cell>
        </row>
        <row r="154">
          <cell r="A154" t="str">
            <v>ADMINISTRATIVE</v>
          </cell>
        </row>
        <row r="155">
          <cell r="A155" t="str">
            <v>ADMINISTRATIVE</v>
          </cell>
        </row>
        <row r="156">
          <cell r="A156" t="str">
            <v>ADMINISTRATIVE</v>
          </cell>
        </row>
        <row r="157">
          <cell r="A157" t="str">
            <v>ADMINISTRATIVE</v>
          </cell>
        </row>
        <row r="158">
          <cell r="A158" t="str">
            <v>ADMINISTRATIVE</v>
          </cell>
        </row>
        <row r="159">
          <cell r="A159" t="str">
            <v>ADMINISTRATIVE</v>
          </cell>
        </row>
        <row r="160">
          <cell r="A160" t="str">
            <v>ADMINISTRATIVE</v>
          </cell>
        </row>
        <row r="161">
          <cell r="A161" t="str">
            <v>ADMINISTRATIVE</v>
          </cell>
        </row>
        <row r="162">
          <cell r="A162" t="str">
            <v>ADMINISTRATIVE</v>
          </cell>
        </row>
        <row r="163">
          <cell r="A163" t="str">
            <v>ADMINISTRATIVE</v>
          </cell>
        </row>
        <row r="164">
          <cell r="A164" t="str">
            <v>ADMINISTRATIVE</v>
          </cell>
        </row>
        <row r="165">
          <cell r="A165" t="str">
            <v>ADMINISTRATIVE</v>
          </cell>
        </row>
        <row r="166">
          <cell r="A166" t="str">
            <v>ADMINISTRATIVE</v>
          </cell>
        </row>
        <row r="167">
          <cell r="A167" t="str">
            <v>ADMINISTRATIVE</v>
          </cell>
        </row>
        <row r="168">
          <cell r="A168" t="str">
            <v>ADMINISTRATIVE</v>
          </cell>
        </row>
        <row r="169">
          <cell r="A169" t="str">
            <v>ADMINISTRATIVE</v>
          </cell>
        </row>
        <row r="170">
          <cell r="A170" t="str">
            <v>ADMINISTRATIVE</v>
          </cell>
        </row>
        <row r="171">
          <cell r="A171" t="str">
            <v>ADMINISTRATIVE</v>
          </cell>
        </row>
        <row r="172">
          <cell r="A172" t="str">
            <v>ADMINISTRATIVE</v>
          </cell>
        </row>
        <row r="173">
          <cell r="A173" t="str">
            <v>ADMINISTRATIVE</v>
          </cell>
        </row>
        <row r="174">
          <cell r="A174" t="str">
            <v>ADMINISTRATIVE</v>
          </cell>
        </row>
        <row r="175">
          <cell r="A175" t="str">
            <v>ADMINISTRATIVE</v>
          </cell>
        </row>
        <row r="176">
          <cell r="A176" t="str">
            <v>ADMINISTRATIVE</v>
          </cell>
        </row>
        <row r="177">
          <cell r="A177" t="str">
            <v>ADMINISTRATIVE</v>
          </cell>
        </row>
        <row r="178">
          <cell r="A178" t="str">
            <v>ADMINISTRATIVE</v>
          </cell>
        </row>
        <row r="179">
          <cell r="A179" t="str">
            <v>ADMINISTRATIVE</v>
          </cell>
        </row>
        <row r="180">
          <cell r="A180" t="str">
            <v>ADMINISTRATIVE</v>
          </cell>
        </row>
        <row r="181">
          <cell r="A181" t="str">
            <v>ADMINISTRATIVE</v>
          </cell>
        </row>
        <row r="182">
          <cell r="A182" t="str">
            <v>ADMINISTRATIVE</v>
          </cell>
        </row>
        <row r="183">
          <cell r="A183" t="str">
            <v>ADMINISTRATIVE</v>
          </cell>
        </row>
        <row r="184">
          <cell r="A184" t="str">
            <v>ADMINISTRATIVE</v>
          </cell>
        </row>
        <row r="185">
          <cell r="A185" t="str">
            <v>ADMINISTRATIVE</v>
          </cell>
        </row>
        <row r="186">
          <cell r="A186" t="str">
            <v>ADMINISTRATIVE</v>
          </cell>
        </row>
        <row r="187">
          <cell r="A187" t="str">
            <v>ADMINISTRATIVE</v>
          </cell>
        </row>
        <row r="188">
          <cell r="A188" t="str">
            <v>ADMINISTRATIVE</v>
          </cell>
        </row>
        <row r="189">
          <cell r="A189" t="str">
            <v>ADMINISTRATIVE</v>
          </cell>
        </row>
        <row r="190">
          <cell r="A190" t="str">
            <v>ADMINISTRATIVE</v>
          </cell>
        </row>
        <row r="191">
          <cell r="A191" t="str">
            <v>ADMINISTRATIVE</v>
          </cell>
        </row>
        <row r="192">
          <cell r="A192" t="str">
            <v>ADMINISTRATIVE</v>
          </cell>
        </row>
        <row r="193">
          <cell r="A193" t="str">
            <v>ADMINISTRATIVE</v>
          </cell>
        </row>
        <row r="194">
          <cell r="A194" t="str">
            <v>ADMINISTRATIVE</v>
          </cell>
        </row>
        <row r="195">
          <cell r="A195" t="str">
            <v>ADMINISTRATIVE</v>
          </cell>
        </row>
        <row r="196">
          <cell r="A196" t="str">
            <v>ADMINISTRATIVE</v>
          </cell>
        </row>
        <row r="197">
          <cell r="A197" t="str">
            <v>ADMINISTRATIVE</v>
          </cell>
        </row>
        <row r="198">
          <cell r="A198" t="str">
            <v>ADMINISTRATIVE</v>
          </cell>
        </row>
        <row r="199">
          <cell r="A199" t="str">
            <v>ADMINISTRATIVE</v>
          </cell>
        </row>
        <row r="200">
          <cell r="A200" t="str">
            <v>ADMINISTRATIVE</v>
          </cell>
        </row>
        <row r="201">
          <cell r="A201" t="str">
            <v>ADMINISTRATIVE</v>
          </cell>
        </row>
        <row r="202">
          <cell r="A202" t="str">
            <v>ADMINISTRATIVE</v>
          </cell>
        </row>
        <row r="203">
          <cell r="A203" t="str">
            <v>ADMINISTRATIVE</v>
          </cell>
        </row>
        <row r="204">
          <cell r="A204" t="str">
            <v>ADMINISTRATIVE</v>
          </cell>
        </row>
        <row r="205">
          <cell r="A205" t="str">
            <v>TECHNICAL</v>
          </cell>
        </row>
        <row r="206">
          <cell r="A206" t="str">
            <v>TECHNICAL</v>
          </cell>
        </row>
        <row r="207">
          <cell r="A207" t="str">
            <v>TECHNICAL</v>
          </cell>
        </row>
        <row r="208">
          <cell r="A208" t="str">
            <v>TECHNICAL</v>
          </cell>
        </row>
        <row r="209">
          <cell r="A209" t="str">
            <v>TECHNICAL</v>
          </cell>
        </row>
        <row r="210">
          <cell r="A210" t="str">
            <v>TECHNICAL</v>
          </cell>
        </row>
        <row r="211">
          <cell r="A211" t="str">
            <v>TECHNICAL</v>
          </cell>
        </row>
        <row r="212">
          <cell r="A212" t="str">
            <v>TECHNICAL</v>
          </cell>
        </row>
        <row r="213">
          <cell r="A213" t="str">
            <v>TECHNICAL</v>
          </cell>
        </row>
        <row r="214">
          <cell r="A214" t="str">
            <v>TECHNICAL</v>
          </cell>
        </row>
        <row r="215">
          <cell r="A215" t="str">
            <v>TECHNICAL</v>
          </cell>
        </row>
        <row r="216">
          <cell r="A216" t="str">
            <v>TECHNICAL</v>
          </cell>
        </row>
        <row r="217">
          <cell r="A217" t="str">
            <v>TECHNICAL</v>
          </cell>
        </row>
        <row r="218">
          <cell r="A218" t="str">
            <v>TECHNICAL</v>
          </cell>
        </row>
        <row r="219">
          <cell r="A219" t="str">
            <v>TECHNICAL</v>
          </cell>
        </row>
        <row r="220">
          <cell r="A220" t="str">
            <v>TECHNICAL</v>
          </cell>
        </row>
        <row r="221">
          <cell r="A221" t="str">
            <v>TECHNICAL</v>
          </cell>
        </row>
        <row r="222">
          <cell r="A222" t="str">
            <v>TECHNICAL</v>
          </cell>
        </row>
        <row r="223">
          <cell r="A223" t="str">
            <v>TECHNICAL</v>
          </cell>
        </row>
        <row r="224">
          <cell r="A224" t="str">
            <v>TECHNICAL</v>
          </cell>
        </row>
        <row r="225">
          <cell r="A225" t="str">
            <v>TECHNICAL</v>
          </cell>
        </row>
        <row r="226">
          <cell r="A226" t="str">
            <v>TECHNICAL</v>
          </cell>
        </row>
        <row r="227">
          <cell r="A227" t="str">
            <v>TECHNICAL</v>
          </cell>
        </row>
        <row r="228">
          <cell r="A228" t="str">
            <v>TECHNICAL</v>
          </cell>
        </row>
        <row r="229">
          <cell r="A229" t="str">
            <v>TECHNICAL</v>
          </cell>
        </row>
        <row r="230">
          <cell r="A230" t="str">
            <v>TECHNICAL</v>
          </cell>
        </row>
        <row r="231">
          <cell r="A231" t="str">
            <v>TECHNICAL</v>
          </cell>
        </row>
        <row r="232">
          <cell r="A232" t="str">
            <v>TECHNICAL</v>
          </cell>
        </row>
        <row r="233">
          <cell r="A233" t="str">
            <v>TECHNICAL</v>
          </cell>
        </row>
        <row r="234">
          <cell r="A234" t="str">
            <v>TECHNICAL</v>
          </cell>
        </row>
        <row r="235">
          <cell r="A235" t="str">
            <v>TECHNICAL</v>
          </cell>
        </row>
        <row r="236">
          <cell r="A236" t="str">
            <v>TECHNICAL</v>
          </cell>
        </row>
        <row r="237">
          <cell r="A237" t="str">
            <v>TECHNICAL</v>
          </cell>
        </row>
        <row r="238">
          <cell r="A238" t="str">
            <v>TECHNICAL</v>
          </cell>
        </row>
        <row r="239">
          <cell r="A239" t="str">
            <v>TECHNICAL</v>
          </cell>
        </row>
        <row r="240">
          <cell r="A240" t="str">
            <v>TECHNICAL</v>
          </cell>
        </row>
        <row r="241">
          <cell r="A241" t="str">
            <v>TECHNICAL</v>
          </cell>
        </row>
        <row r="242">
          <cell r="A242" t="str">
            <v>TECHNICAL</v>
          </cell>
        </row>
        <row r="243">
          <cell r="A243" t="str">
            <v>TECHNICAL</v>
          </cell>
        </row>
        <row r="244">
          <cell r="A244" t="str">
            <v>TECHNICAL</v>
          </cell>
        </row>
        <row r="245">
          <cell r="A245" t="str">
            <v>TECHNICAL</v>
          </cell>
        </row>
        <row r="246">
          <cell r="A246" t="str">
            <v>TECHNICAL</v>
          </cell>
        </row>
        <row r="247">
          <cell r="A247" t="str">
            <v>TECHNICAL</v>
          </cell>
        </row>
        <row r="248">
          <cell r="A248" t="str">
            <v>TECHNICAL</v>
          </cell>
        </row>
        <row r="249">
          <cell r="A249" t="str">
            <v>TECHNICAL</v>
          </cell>
        </row>
        <row r="250">
          <cell r="A250" t="str">
            <v>TECHNICAL</v>
          </cell>
        </row>
        <row r="251">
          <cell r="A251" t="str">
            <v>TECHNICAL</v>
          </cell>
        </row>
        <row r="252">
          <cell r="A252" t="str">
            <v>TECHNICAL</v>
          </cell>
        </row>
        <row r="253">
          <cell r="A253" t="str">
            <v>TECHNICAL</v>
          </cell>
        </row>
        <row r="254">
          <cell r="A254" t="str">
            <v>TECHNICAL</v>
          </cell>
        </row>
        <row r="255">
          <cell r="A255" t="str">
            <v>TECHNICAL</v>
          </cell>
        </row>
        <row r="256">
          <cell r="A256" t="str">
            <v>TECHNICAL</v>
          </cell>
        </row>
        <row r="257">
          <cell r="A257" t="str">
            <v>TECHNICAL</v>
          </cell>
        </row>
        <row r="258">
          <cell r="A258" t="str">
            <v>TECHNICAL</v>
          </cell>
        </row>
        <row r="259">
          <cell r="A259" t="str">
            <v>TECHNICAL</v>
          </cell>
        </row>
        <row r="260">
          <cell r="A260" t="str">
            <v>TECHNICAL</v>
          </cell>
        </row>
        <row r="261">
          <cell r="A261" t="str">
            <v>TECHNICAL</v>
          </cell>
        </row>
        <row r="262">
          <cell r="A262" t="str">
            <v>TECHNICAL</v>
          </cell>
        </row>
        <row r="263">
          <cell r="A263" t="str">
            <v>TECHNICAL</v>
          </cell>
        </row>
        <row r="264">
          <cell r="A264" t="str">
            <v>TECHNICAL</v>
          </cell>
        </row>
        <row r="265">
          <cell r="A265" t="str">
            <v>TECHNICAL</v>
          </cell>
        </row>
        <row r="266">
          <cell r="A266" t="str">
            <v>TECHNICAL</v>
          </cell>
        </row>
        <row r="267">
          <cell r="A267" t="str">
            <v>TECHNICAL</v>
          </cell>
        </row>
        <row r="268">
          <cell r="A268" t="str">
            <v>TECHNICAL</v>
          </cell>
        </row>
        <row r="269">
          <cell r="A269" t="str">
            <v>TECHNICAL</v>
          </cell>
        </row>
        <row r="270">
          <cell r="A270" t="str">
            <v>TECHNICAL</v>
          </cell>
        </row>
        <row r="271">
          <cell r="A271" t="str">
            <v>TECHNICAL</v>
          </cell>
        </row>
        <row r="272">
          <cell r="A272" t="str">
            <v>TECHNICAL</v>
          </cell>
        </row>
        <row r="273">
          <cell r="A273" t="str">
            <v>TECHNICAL</v>
          </cell>
        </row>
        <row r="274">
          <cell r="A274" t="str">
            <v>TECHNICAL</v>
          </cell>
        </row>
        <row r="275">
          <cell r="A275" t="str">
            <v>TECHNICAL</v>
          </cell>
        </row>
        <row r="276">
          <cell r="A276" t="str">
            <v>TECHNICAL</v>
          </cell>
        </row>
        <row r="277">
          <cell r="A277" t="str">
            <v>TECHNICAL</v>
          </cell>
        </row>
        <row r="278">
          <cell r="A278" t="str">
            <v>TECHNICAL</v>
          </cell>
        </row>
        <row r="279">
          <cell r="A279" t="str">
            <v>TECHNICAL</v>
          </cell>
        </row>
        <row r="280">
          <cell r="A280" t="str">
            <v>TECHNICAL</v>
          </cell>
        </row>
        <row r="281">
          <cell r="A281" t="str">
            <v>TECHNICAL</v>
          </cell>
        </row>
        <row r="282">
          <cell r="A282" t="str">
            <v>TECHNICAL</v>
          </cell>
        </row>
        <row r="283">
          <cell r="A283" t="str">
            <v>TECHNICAL</v>
          </cell>
        </row>
        <row r="284">
          <cell r="A284" t="str">
            <v>TECHNICAL</v>
          </cell>
        </row>
        <row r="285">
          <cell r="A285" t="str">
            <v>TECHNICAL</v>
          </cell>
        </row>
        <row r="286">
          <cell r="A286" t="str">
            <v>TECHNICAL</v>
          </cell>
        </row>
        <row r="287">
          <cell r="A287" t="str">
            <v>TECHNICAL</v>
          </cell>
        </row>
        <row r="288">
          <cell r="A288" t="str">
            <v>TECHNICAL</v>
          </cell>
        </row>
        <row r="289">
          <cell r="A289" t="str">
            <v>TECHNICAL</v>
          </cell>
        </row>
        <row r="290">
          <cell r="A290" t="str">
            <v>TECHNICAL</v>
          </cell>
        </row>
        <row r="291">
          <cell r="A291" t="str">
            <v>TECHNICAL</v>
          </cell>
        </row>
        <row r="292">
          <cell r="A292" t="str">
            <v>TECHNICAL</v>
          </cell>
        </row>
        <row r="293">
          <cell r="A293" t="str">
            <v>TECHNICAL</v>
          </cell>
        </row>
        <row r="294">
          <cell r="A294" t="str">
            <v>TECHNICAL</v>
          </cell>
        </row>
        <row r="295">
          <cell r="A295" t="str">
            <v>TECHNICAL</v>
          </cell>
        </row>
        <row r="296">
          <cell r="A296" t="str">
            <v>TECHNICAL</v>
          </cell>
        </row>
        <row r="297">
          <cell r="A297" t="str">
            <v>TECHNICAL</v>
          </cell>
        </row>
        <row r="298">
          <cell r="A298" t="str">
            <v>TECHNICAL</v>
          </cell>
        </row>
        <row r="299">
          <cell r="A299" t="str">
            <v>TECHNICAL</v>
          </cell>
        </row>
        <row r="300">
          <cell r="A300" t="str">
            <v>TECHNICAL</v>
          </cell>
        </row>
        <row r="301">
          <cell r="A301" t="str">
            <v>TECHNICAL</v>
          </cell>
        </row>
        <row r="302">
          <cell r="A302" t="str">
            <v>TECHNICAL</v>
          </cell>
        </row>
        <row r="303">
          <cell r="A303" t="str">
            <v>TECHNICAL</v>
          </cell>
        </row>
        <row r="304">
          <cell r="A304" t="str">
            <v>TECHNICAL</v>
          </cell>
        </row>
        <row r="305">
          <cell r="A305" t="str">
            <v>TECHNICAL</v>
          </cell>
        </row>
        <row r="306">
          <cell r="A306" t="str">
            <v>TECHNICAL</v>
          </cell>
        </row>
        <row r="307">
          <cell r="A307" t="str">
            <v>TECHNICAL</v>
          </cell>
        </row>
        <row r="308">
          <cell r="A308" t="str">
            <v>TECHNICAL</v>
          </cell>
        </row>
        <row r="309">
          <cell r="A309" t="str">
            <v>TECHNICAL</v>
          </cell>
        </row>
        <row r="310">
          <cell r="A310" t="str">
            <v>TECHNICAL</v>
          </cell>
        </row>
        <row r="311">
          <cell r="A311" t="str">
            <v>TECHNICAL</v>
          </cell>
        </row>
        <row r="312">
          <cell r="A312" t="str">
            <v>TECHNICAL</v>
          </cell>
        </row>
        <row r="313">
          <cell r="A313" t="str">
            <v>TECHNICAL</v>
          </cell>
        </row>
        <row r="314">
          <cell r="A314" t="str">
            <v>TECHNICAL</v>
          </cell>
        </row>
        <row r="315">
          <cell r="A315" t="str">
            <v>TECHNICAL</v>
          </cell>
        </row>
        <row r="316">
          <cell r="A316" t="str">
            <v>TECHNICAL</v>
          </cell>
        </row>
        <row r="317">
          <cell r="A317" t="str">
            <v>TECHNICAL</v>
          </cell>
        </row>
        <row r="318">
          <cell r="A318" t="str">
            <v>TECHNICAL</v>
          </cell>
        </row>
        <row r="319">
          <cell r="A319" t="str">
            <v>TECHNICAL</v>
          </cell>
        </row>
        <row r="320">
          <cell r="A320" t="str">
            <v>TECHNICAL</v>
          </cell>
        </row>
        <row r="321">
          <cell r="A321" t="str">
            <v>Other</v>
          </cell>
        </row>
        <row r="322">
          <cell r="A322" t="str">
            <v>Other</v>
          </cell>
        </row>
        <row r="323">
          <cell r="A323" t="str">
            <v>Other</v>
          </cell>
        </row>
        <row r="324">
          <cell r="A324" t="str">
            <v>Other</v>
          </cell>
        </row>
        <row r="325">
          <cell r="A325" t="str">
            <v>Other</v>
          </cell>
        </row>
        <row r="326">
          <cell r="A326" t="str">
            <v>Other</v>
          </cell>
        </row>
        <row r="327">
          <cell r="A327" t="str">
            <v>Other</v>
          </cell>
        </row>
        <row r="328">
          <cell r="A328" t="str">
            <v>Other</v>
          </cell>
        </row>
        <row r="329">
          <cell r="A329" t="str">
            <v>Other</v>
          </cell>
        </row>
        <row r="330">
          <cell r="A330" t="str">
            <v>Other</v>
          </cell>
        </row>
        <row r="331">
          <cell r="A331" t="str">
            <v>Other</v>
          </cell>
        </row>
        <row r="332">
          <cell r="A332" t="str">
            <v>Other</v>
          </cell>
        </row>
        <row r="333">
          <cell r="A333" t="str">
            <v>Other</v>
          </cell>
        </row>
        <row r="334">
          <cell r="A334" t="str">
            <v>Other</v>
          </cell>
        </row>
        <row r="335">
          <cell r="A335" t="str">
            <v>Other</v>
          </cell>
        </row>
        <row r="336">
          <cell r="A336" t="str">
            <v>Other</v>
          </cell>
        </row>
        <row r="337">
          <cell r="A337" t="str">
            <v>Other</v>
          </cell>
        </row>
        <row r="338">
          <cell r="A338" t="str">
            <v>Other</v>
          </cell>
        </row>
        <row r="339">
          <cell r="A339" t="str">
            <v>Other</v>
          </cell>
        </row>
        <row r="340">
          <cell r="A340" t="str">
            <v>Other</v>
          </cell>
        </row>
        <row r="341">
          <cell r="A341" t="str">
            <v>Other</v>
          </cell>
        </row>
        <row r="342">
          <cell r="A342" t="str">
            <v>Other</v>
          </cell>
        </row>
        <row r="343">
          <cell r="A343" t="str">
            <v>Other</v>
          </cell>
        </row>
        <row r="344">
          <cell r="A344" t="str">
            <v>Other</v>
          </cell>
        </row>
        <row r="345">
          <cell r="A345" t="str">
            <v>Other</v>
          </cell>
        </row>
        <row r="346">
          <cell r="A346" t="str">
            <v>Other</v>
          </cell>
        </row>
        <row r="347">
          <cell r="A347" t="str">
            <v>Other</v>
          </cell>
        </row>
        <row r="348">
          <cell r="A348" t="str">
            <v>Other</v>
          </cell>
        </row>
        <row r="349">
          <cell r="A349" t="str">
            <v>Other</v>
          </cell>
        </row>
        <row r="350">
          <cell r="A350" t="str">
            <v>Other</v>
          </cell>
        </row>
        <row r="351">
          <cell r="A351" t="str">
            <v>Other</v>
          </cell>
        </row>
        <row r="352">
          <cell r="A352" t="str">
            <v>Other</v>
          </cell>
        </row>
        <row r="353">
          <cell r="A353" t="str">
            <v>Other</v>
          </cell>
        </row>
        <row r="354">
          <cell r="A354" t="str">
            <v>Other</v>
          </cell>
        </row>
        <row r="355">
          <cell r="A355" t="str">
            <v>Other</v>
          </cell>
        </row>
        <row r="356">
          <cell r="A356" t="str">
            <v>Other</v>
          </cell>
        </row>
        <row r="357">
          <cell r="A357" t="str">
            <v>Other</v>
          </cell>
        </row>
        <row r="358">
          <cell r="A358" t="str">
            <v>Other</v>
          </cell>
        </row>
        <row r="359">
          <cell r="A359" t="str">
            <v>Other</v>
          </cell>
        </row>
        <row r="360">
          <cell r="A360" t="str">
            <v>Other</v>
          </cell>
        </row>
        <row r="361">
          <cell r="A361" t="str">
            <v>Other</v>
          </cell>
        </row>
        <row r="362">
          <cell r="A362" t="str">
            <v>Other</v>
          </cell>
        </row>
        <row r="363">
          <cell r="A363" t="str">
            <v>Other</v>
          </cell>
        </row>
        <row r="364">
          <cell r="A364" t="str">
            <v>Other</v>
          </cell>
        </row>
        <row r="365">
          <cell r="A365" t="str">
            <v>Other</v>
          </cell>
        </row>
        <row r="366">
          <cell r="A366" t="str">
            <v>Other</v>
          </cell>
        </row>
        <row r="367">
          <cell r="A367" t="str">
            <v>Other</v>
          </cell>
        </row>
        <row r="368">
          <cell r="A368" t="str">
            <v>Other</v>
          </cell>
        </row>
        <row r="369">
          <cell r="A369" t="str">
            <v>Other</v>
          </cell>
        </row>
        <row r="370">
          <cell r="A370" t="str">
            <v>Other</v>
          </cell>
        </row>
        <row r="371">
          <cell r="A371" t="str">
            <v>Other</v>
          </cell>
        </row>
        <row r="372">
          <cell r="A372" t="str">
            <v>Other</v>
          </cell>
        </row>
        <row r="373">
          <cell r="A373" t="str">
            <v>Other</v>
          </cell>
        </row>
        <row r="374">
          <cell r="A374" t="str">
            <v>Other</v>
          </cell>
        </row>
        <row r="375">
          <cell r="A375" t="str">
            <v>Other</v>
          </cell>
        </row>
        <row r="376">
          <cell r="A376" t="str">
            <v>Other</v>
          </cell>
        </row>
        <row r="377">
          <cell r="A377" t="str">
            <v>Other</v>
          </cell>
        </row>
        <row r="378">
          <cell r="A378" t="str">
            <v>Other</v>
          </cell>
        </row>
        <row r="379">
          <cell r="A379" t="str">
            <v>Other</v>
          </cell>
        </row>
        <row r="380">
          <cell r="A380" t="str">
            <v>Other</v>
          </cell>
        </row>
        <row r="381">
          <cell r="A381" t="str">
            <v>Other</v>
          </cell>
        </row>
        <row r="382">
          <cell r="A382" t="str">
            <v>Other</v>
          </cell>
        </row>
        <row r="383">
          <cell r="A383" t="str">
            <v>Other</v>
          </cell>
        </row>
        <row r="384">
          <cell r="A384" t="str">
            <v>Other</v>
          </cell>
        </row>
        <row r="385">
          <cell r="A385" t="str">
            <v>Other</v>
          </cell>
        </row>
        <row r="386">
          <cell r="A386" t="str">
            <v>Other</v>
          </cell>
        </row>
        <row r="387">
          <cell r="A387" t="str">
            <v>Other</v>
          </cell>
        </row>
        <row r="388">
          <cell r="A388" t="str">
            <v>Other</v>
          </cell>
        </row>
        <row r="389">
          <cell r="A389" t="str">
            <v>Other</v>
          </cell>
        </row>
        <row r="390">
          <cell r="A390" t="str">
            <v>Other</v>
          </cell>
        </row>
        <row r="391">
          <cell r="A391" t="str">
            <v>Other</v>
          </cell>
        </row>
        <row r="392">
          <cell r="A392" t="str">
            <v>Other</v>
          </cell>
        </row>
        <row r="393">
          <cell r="A393" t="str">
            <v>Other</v>
          </cell>
        </row>
        <row r="394">
          <cell r="A394" t="str">
            <v>Other</v>
          </cell>
        </row>
        <row r="395">
          <cell r="A395" t="str">
            <v>Other</v>
          </cell>
        </row>
        <row r="396">
          <cell r="A396" t="str">
            <v>Other</v>
          </cell>
        </row>
        <row r="397">
          <cell r="A397" t="str">
            <v>Other</v>
          </cell>
        </row>
        <row r="398">
          <cell r="A398" t="str">
            <v>Other</v>
          </cell>
        </row>
        <row r="399">
          <cell r="A399" t="str">
            <v>Other</v>
          </cell>
        </row>
        <row r="400">
          <cell r="A400" t="str">
            <v>Other</v>
          </cell>
        </row>
        <row r="401">
          <cell r="A401" t="str">
            <v>Other</v>
          </cell>
        </row>
        <row r="402">
          <cell r="A402" t="str">
            <v>Other</v>
          </cell>
        </row>
        <row r="403">
          <cell r="A403" t="str">
            <v>Other</v>
          </cell>
        </row>
        <row r="404">
          <cell r="A404" t="str">
            <v>Other</v>
          </cell>
        </row>
        <row r="405">
          <cell r="A405" t="str">
            <v>Other</v>
          </cell>
        </row>
        <row r="406">
          <cell r="A406" t="str">
            <v>Other</v>
          </cell>
        </row>
        <row r="407">
          <cell r="A407" t="str">
            <v>Other</v>
          </cell>
        </row>
        <row r="408">
          <cell r="A408" t="str">
            <v>Other</v>
          </cell>
        </row>
        <row r="409">
          <cell r="A409" t="str">
            <v>Other</v>
          </cell>
        </row>
        <row r="410">
          <cell r="A410" t="str">
            <v>Other</v>
          </cell>
        </row>
        <row r="411">
          <cell r="A411" t="str">
            <v>Other</v>
          </cell>
        </row>
        <row r="412">
          <cell r="A412" t="str">
            <v>Other</v>
          </cell>
        </row>
        <row r="413">
          <cell r="A413" t="str">
            <v>Other</v>
          </cell>
        </row>
        <row r="414">
          <cell r="A414" t="str">
            <v>Other</v>
          </cell>
        </row>
        <row r="415">
          <cell r="A415" t="str">
            <v>Other</v>
          </cell>
        </row>
        <row r="416">
          <cell r="A416" t="str">
            <v>Other</v>
          </cell>
        </row>
        <row r="417">
          <cell r="A417" t="str">
            <v>Other</v>
          </cell>
        </row>
        <row r="418">
          <cell r="A418" t="str">
            <v>Other</v>
          </cell>
        </row>
        <row r="419">
          <cell r="A419" t="str">
            <v>Other</v>
          </cell>
        </row>
        <row r="420">
          <cell r="A420" t="str">
            <v>Other</v>
          </cell>
        </row>
        <row r="421">
          <cell r="A421" t="str">
            <v>Other</v>
          </cell>
        </row>
        <row r="422">
          <cell r="A422" t="str">
            <v>Other</v>
          </cell>
        </row>
        <row r="423">
          <cell r="A423" t="str">
            <v>Other</v>
          </cell>
        </row>
        <row r="424">
          <cell r="A424" t="str">
            <v>Other</v>
          </cell>
        </row>
        <row r="425">
          <cell r="A425" t="str">
            <v>Other</v>
          </cell>
        </row>
        <row r="426">
          <cell r="A426" t="str">
            <v>Other</v>
          </cell>
        </row>
        <row r="427">
          <cell r="A427" t="str">
            <v>Other</v>
          </cell>
        </row>
        <row r="428">
          <cell r="A428" t="str">
            <v>Other</v>
          </cell>
        </row>
        <row r="429">
          <cell r="A429" t="str">
            <v>Other</v>
          </cell>
        </row>
        <row r="430">
          <cell r="A430" t="str">
            <v>Other</v>
          </cell>
        </row>
        <row r="431">
          <cell r="A431" t="str">
            <v>Other</v>
          </cell>
        </row>
        <row r="432">
          <cell r="A432" t="str">
            <v>Other</v>
          </cell>
        </row>
        <row r="433">
          <cell r="A433" t="str">
            <v>Other</v>
          </cell>
        </row>
        <row r="434">
          <cell r="A434" t="str">
            <v>Other</v>
          </cell>
        </row>
        <row r="435">
          <cell r="A435" t="str">
            <v>Other</v>
          </cell>
        </row>
        <row r="436">
          <cell r="A436" t="str">
            <v>Other</v>
          </cell>
        </row>
        <row r="437">
          <cell r="A437" t="str">
            <v>Other</v>
          </cell>
        </row>
        <row r="438">
          <cell r="A438" t="str">
            <v>Other</v>
          </cell>
        </row>
        <row r="439">
          <cell r="A439" t="str">
            <v>Other</v>
          </cell>
        </row>
        <row r="440">
          <cell r="A440" t="str">
            <v>Other</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2F99ED0-1A45-4829-AD72-64FF5FBDABBB}" name="Table33" displayName="Table33" ref="B33:B39" totalsRowShown="0" headerRowDxfId="49" headerRowBorderDxfId="48" tableBorderDxfId="47" totalsRowBorderDxfId="46">
  <autoFilter ref="B33:B39" xr:uid="{D2F99ED0-1A45-4829-AD72-64FF5FBDABBB}"/>
  <tableColumns count="1">
    <tableColumn id="1" xr3:uid="{4EAEEC8D-1164-4742-8A0C-23D9479F3C54}" name="Select one: " dataDxfId="4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6ABFE98-EAF2-4C43-934E-70EC4A0E781E}" name="Table213839" displayName="Table213839" ref="B28:B31" totalsRowShown="0">
  <autoFilter ref="B28:B31" xr:uid="{D6ABFE98-EAF2-4C43-934E-70EC4A0E781E}"/>
  <tableColumns count="1">
    <tableColumn id="1" xr3:uid="{CC48135C-A8A4-4BE9-8246-F250EC48808E}" name="Select on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7ACFD55-5210-435F-A63C-50C3BDAB2240}" name="Table34" displayName="Table34" ref="B24:B25" totalsRowShown="0" headerRowDxfId="44" headerRowBorderDxfId="43" tableBorderDxfId="42" totalsRowBorderDxfId="41">
  <autoFilter ref="B24:B25" xr:uid="{57ACFD55-5210-435F-A63C-50C3BDAB2240}"/>
  <tableColumns count="1">
    <tableColumn id="1" xr3:uid="{B685A667-7005-49CE-A51D-F0D5B1650937}" name="Select on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6BBC997-B25D-44D9-AC93-3D621EB6C719}" name="Table1537" displayName="Table1537" ref="B51:B56" totalsRowShown="0">
  <autoFilter ref="B51:B56" xr:uid="{F6BBC997-B25D-44D9-AC93-3D621EB6C719}"/>
  <tableColumns count="1">
    <tableColumn id="1" xr3:uid="{DF832C4B-B223-4AB0-ADD4-8A5B6DD0F0DE}" name="Select one: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01055FF-40A5-4E2C-A664-722271FA4C34}" name="Table2138" displayName="Table2138" ref="B25:B28" totalsRowShown="0">
  <autoFilter ref="B25:B28" xr:uid="{A01055FF-40A5-4E2C-A664-722271FA4C34}"/>
  <tableColumns count="1">
    <tableColumn id="1" xr3:uid="{0AE25B45-1A58-4ED8-9692-3CE7683889F0}" name="Select one: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D632DB1-92EF-48E8-B3B7-CAA2CA22E993}" name="Table24" displayName="Table24" ref="A35:A47" totalsRowShown="0" headerRowDxfId="40" dataDxfId="39" tableBorderDxfId="38">
  <autoFilter ref="A35:A47" xr:uid="{5D632DB1-92EF-48E8-B3B7-CAA2CA22E993}"/>
  <tableColumns count="1">
    <tableColumn id="1" xr3:uid="{96A394D9-5FFF-48DE-8D58-8FF93B08F431}" name="Select relevant graduate fee" dataDxfId="3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70F90C5-7FA3-4065-82DB-BE74A9792581}" name="Table25" displayName="Table25" ref="A50:A52" totalsRowShown="0">
  <autoFilter ref="A50:A52" xr:uid="{770F90C5-7FA3-4065-82DB-BE74A9792581}"/>
  <tableColumns count="1">
    <tableColumn id="1" xr3:uid="{C5E1B7D1-E68B-4C8F-B113-0C0F438A7207}" name="Select student stipen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BE4098-5793-4C31-A5D2-3EAF41E79A40}" name="Table2" displayName="Table2" ref="A1:A3" totalsRowShown="0">
  <autoFilter ref="A1:A3" xr:uid="{D6BE4098-5793-4C31-A5D2-3EAF41E79A40}"/>
  <tableColumns count="1">
    <tableColumn id="1" xr3:uid="{4DFBCD9B-DAF0-4B6A-9DE5-2DF41048BA31}" name="Selec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7F8AC8-F853-4BAF-B08A-4EE3B3EE2DE1}" name="Table3" displayName="Table3" ref="A6:A38" totalsRowShown="0" dataDxfId="36" tableBorderDxfId="35">
  <autoFilter ref="A6:A38" xr:uid="{347F8AC8-F853-4BAF-B08A-4EE3B3EE2DE1}"/>
  <tableColumns count="1">
    <tableColumn id="1" xr3:uid="{C456D7B1-AC2F-44CE-BD67-34B654242C10}" name="Select grade and applicable point on scale " dataDxfId="3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72D447-6DB6-48E8-B063-D1CA03A6BD3A}" name="Table4" displayName="Table4" ref="E4:E10" totalsRowShown="0" headerRowDxfId="33">
  <autoFilter ref="E4:E10" xr:uid="{AD72D447-6DB6-48E8-B063-D1CA03A6BD3A}"/>
  <tableColumns count="1">
    <tableColumn id="1" xr3:uid="{CB60B1D0-53A9-4F09-A1A6-77F98EA2AD4C}" name="Select time commitment (minimum for PI is 25%)"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36B116-C06F-43A2-AC33-D51B00B07C87}" name="Table6" displayName="Table6" ref="E13:E21" totalsRowShown="0">
  <autoFilter ref="E13:E21" xr:uid="{9336B116-C06F-43A2-AC33-D51B00B07C87}"/>
  <tableColumns count="1">
    <tableColumn id="1" xr3:uid="{560EC722-A7CB-4101-8B7E-8B9093257D95}" name="Please select time commitment" dataDxfId="3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8AE834-488F-4E43-8A22-877A76DC0404}" name="Table7" displayName="Table7" ref="E23:E27" totalsRowShown="0">
  <autoFilter ref="E23:E27" xr:uid="{CB8AE834-488F-4E43-8A22-877A76DC0404}"/>
  <tableColumns count="1">
    <tableColumn id="1" xr3:uid="{E14CD38A-5671-4AF7-B903-7DA30021B1E1}" name="Select % of existing academic commitment replaced" dataDxfId="3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839FED-143E-491E-A141-BAE6D15F6DF5}" name="Table8" displayName="Table8" ref="E29:E31" totalsRowShown="0" dataDxfId="29">
  <autoFilter ref="E29:E31" xr:uid="{9A839FED-143E-491E-A141-BAE6D15F6DF5}"/>
  <tableColumns count="1">
    <tableColumn id="1" xr3:uid="{B5589A2B-D9DF-4318-9A97-7DEED47B88E2}" name="Select relevent grade " dataDxfId="2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A39B4AF-FC6C-433C-AF0B-D9ED679D1F54}" name="Table10" displayName="Table10" ref="C4:C11" totalsRowShown="0" headerRowDxfId="27" dataDxfId="25" headerRowBorderDxfId="26" tableBorderDxfId="24">
  <autoFilter ref="C4:C11" xr:uid="{4A39B4AF-FC6C-433C-AF0B-D9ED679D1F54}"/>
  <tableColumns count="1">
    <tableColumn id="1" xr3:uid="{0F9509DB-55F3-4452-9307-C0D2F33E475F}" name="Select grade and applicable point on scale " dataDxfId="2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04D17F-B3E2-4D41-8A19-80628E43ECBC}" name="Table1" displayName="Table1" ref="G2:G13" totalsRowShown="0" headerRowDxfId="22">
  <autoFilter ref="G2:G13" xr:uid="{7104D17F-B3E2-4D41-8A19-80628E43ECBC}"/>
  <tableColumns count="1">
    <tableColumn id="1" xr3:uid="{A5CE7667-1E3B-4BFA-8B03-FA814B80DC33}" name="Select one "/>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F8E9CA-F569-47A5-BE08-6FE0DCF03BC5}" name="Table5" displayName="Table5" ref="G15:G23" totalsRowShown="0" headerRowDxfId="21">
  <autoFilter ref="G15:G23" xr:uid="{D7F8E9CA-F569-47A5-BE08-6FE0DCF03BC5}"/>
  <tableColumns count="1">
    <tableColumn id="1" xr3:uid="{7EDCA769-1794-4530-A23E-4FA48AB5946A}" name="Select on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D2E138-C7C3-48AA-8452-1C838BF896CE}" name="Table9" displayName="Table9" ref="G25:G30" totalsRowShown="0">
  <autoFilter ref="G25:G30" xr:uid="{5BD2E138-C7C3-48AA-8452-1C838BF896CE}"/>
  <tableColumns count="1">
    <tableColumn id="1" xr3:uid="{2C3F039D-CAC8-4CAF-ADAC-687295D039C4}" name="Select one "/>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8A2817F-C99C-4C57-BF72-BD351E2A9581}" name="Table11" displayName="Table11" ref="G34:G49" totalsRowShown="0">
  <autoFilter ref="G34:G49" xr:uid="{78A2817F-C99C-4C57-BF72-BD351E2A9581}"/>
  <tableColumns count="1">
    <tableColumn id="1" xr3:uid="{AE46179B-0ADD-4A3E-B6AC-6C9F85051400}" name="Select one "/>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9322B4-88DF-49A8-AEE9-C707D012A0DC}" name="Table12" displayName="Table12" ref="G51:G53" totalsRowShown="0">
  <autoFilter ref="G51:G53" xr:uid="{EF9322B4-88DF-49A8-AEE9-C707D012A0DC}"/>
  <tableColumns count="1">
    <tableColumn id="1" xr3:uid="{4EA3B4AF-018E-4839-848D-B811479B003B}" name="Select one "/>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49D272F-C203-4554-A5AD-1F95D4330139}" name="Table13" displayName="Table13" ref="G55:G59" totalsRowShown="0">
  <autoFilter ref="G55:G59" xr:uid="{149D272F-C203-4554-A5AD-1F95D4330139}"/>
  <tableColumns count="1">
    <tableColumn id="1" xr3:uid="{555DC643-5CDF-4969-872E-5E18FA176A9D}" name="Select on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4A3B8D-D2F5-4ADE-AD60-F6AC91C96BEB}" name="Table14" displayName="Table14" ref="A44:A46" totalsRowShown="0" headerRowDxfId="20">
  <autoFilter ref="A44:A46" xr:uid="{FA4A3B8D-D2F5-4ADE-AD60-F6AC91C96BEB}"/>
  <tableColumns count="1">
    <tableColumn id="1" xr3:uid="{464DA2E9-3FFB-44D6-8415-A7DC75246D15}" name="Select on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3869CB5-4F89-4D44-83BA-2DFB2FBCDF76}" name="Table16" displayName="Table16" ref="A48:A50" totalsRowShown="0" headerRowDxfId="19" tableBorderDxfId="18">
  <autoFilter ref="A48:A50" xr:uid="{43869CB5-4F89-4D44-83BA-2DFB2FBCDF76}"/>
  <tableColumns count="1">
    <tableColumn id="1" xr3:uid="{7185C3BE-76BE-465A-A8B7-5F3972AE907A}" name="Select one "/>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044AB7B-6E6F-4070-8293-CAE95E39C62D}" name="Table17" displayName="Table17" ref="A52:A66" totalsRowShown="0">
  <autoFilter ref="A52:A66" xr:uid="{8044AB7B-6E6F-4070-8293-CAE95E39C62D}"/>
  <tableColumns count="1">
    <tableColumn id="1" xr3:uid="{111E92CE-1E4C-47BC-B028-7939EABE63FE}" name="Month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4B7716C-F9C8-41E0-A734-F031A5DD5443}" name="Table18" displayName="Table18" ref="G62:G71" totalsRowShown="0">
  <autoFilter ref="G62:G71" xr:uid="{44B7716C-F9C8-41E0-A734-F031A5DD5443}"/>
  <tableColumns count="1">
    <tableColumn id="1" xr3:uid="{C9A91112-E1E0-42FF-9165-14E9F98E05F3}" name="Select one: "/>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2720F85-022E-4387-9ED0-CC1FF0EF0162}" name="Table19" displayName="Table19" ref="G73:G84" totalsRowShown="0">
  <autoFilter ref="G73:G84" xr:uid="{12720F85-022E-4387-9ED0-CC1FF0EF0162}"/>
  <tableColumns count="1">
    <tableColumn id="1" xr3:uid="{2F32B3DB-5846-4826-9D60-A9994EBA9E28}" name="Select one: "/>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C37F8E4-A58A-4402-907D-10B7A11F3572}" name="Table20" displayName="Table20" ref="A70:A138" totalsRowShown="0" headerRowDxfId="17" dataDxfId="16" tableBorderDxfId="15">
  <autoFilter ref="A70:A138" xr:uid="{CC37F8E4-A58A-4402-907D-10B7A11F3572}"/>
  <tableColumns count="1">
    <tableColumn id="1" xr3:uid="{31F8B90C-79A0-4C7C-B937-010FEB5AB803}" name="Select academic grade and point on scale" dataDxfId="14"/>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705B209-996B-43C1-97B5-439776418F71}" name="Table22" displayName="Table22" ref="G87:G90" totalsRowShown="0">
  <autoFilter ref="G87:G90" xr:uid="{2705B209-996B-43C1-97B5-439776418F71}"/>
  <tableColumns count="1">
    <tableColumn id="1" xr3:uid="{7D6DF4BB-4B34-4BA0-9186-E208F6CCFA05}" name="Select one: "/>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0CBECB5-8654-44D0-A4C5-62ABCAB43A83}" name="Table15" displayName="Table15" ref="G93:G95" totalsRowShown="0">
  <autoFilter ref="G93:G95" xr:uid="{50CBECB5-8654-44D0-A4C5-62ABCAB43A83}"/>
  <tableColumns count="1">
    <tableColumn id="1" xr3:uid="{03E647A4-4A07-49DE-9C51-6BF0965C05BA}" name="Select one: "/>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FF3B26-13FD-4DA8-A44D-170E25FA8BDD}" name="Table21" displayName="Table21" ref="G100:G105" totalsRowShown="0" dataDxfId="13">
  <autoFilter ref="G100:G105" xr:uid="{18FF3B26-13FD-4DA8-A44D-170E25FA8BDD}"/>
  <tableColumns count="1">
    <tableColumn id="1" xr3:uid="{CF8F399B-66C8-4D9B-B06D-E349A10D812F}" name="Select one: " dataDxfId="1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C6463A1-B414-45F1-B8FE-72C59A0E818C}" name="Table23" displayName="Table23" ref="G109:H112" totalsRowShown="0">
  <autoFilter ref="G109:H112" xr:uid="{8C6463A1-B414-45F1-B8FE-72C59A0E818C}"/>
  <tableColumns count="2">
    <tableColumn id="1" xr3:uid="{AA833C27-DDC0-4616-88DF-6CC2FFFF802A}" name="Select relevant answer"/>
    <tableColumn id="2" xr3:uid="{F314D677-0701-483F-B28A-CD066047D697}" name="25%" dataDxfId="1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49BDA03-F1D9-41B3-8D8D-7FD92A6F0681}" name="Table26" displayName="Table26" ref="A144:A212" totalsRowShown="0" dataDxfId="10">
  <autoFilter ref="A144:A212" xr:uid="{649BDA03-F1D9-41B3-8D8D-7FD92A6F0681}"/>
  <tableColumns count="1">
    <tableColumn id="1" xr3:uid="{EE2C5385-9617-46A7-B0F7-A5D3D315147D}" name="Select admin grade and point on scale" dataDxfId="9"/>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757B080-B4E6-4A75-B207-9E428DB53EE7}" name="Table27" displayName="Table27" ref="E114:E117" totalsRowShown="0">
  <autoFilter ref="E114:E117" xr:uid="{4757B080-B4E6-4A75-B207-9E428DB53EE7}"/>
  <tableColumns count="1">
    <tableColumn id="1" xr3:uid="{F7BDE15F-A0AD-45BA-8D34-113C821D24EC}" name="Column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6332AAC-3ECF-4A88-928D-71F07417AF91}" name="Table28" displayName="Table28" ref="E122:E146" totalsRowShown="0" tableBorderDxfId="8">
  <autoFilter ref="E122:E146" xr:uid="{56332AAC-3ECF-4A88-928D-71F07417AF91}"/>
  <tableColumns count="1">
    <tableColumn id="1" xr3:uid="{19C9EE6E-216F-44BA-9AE5-7EC328E09FB0}" name="Select the relevant team member"/>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B3D28DD-3DED-4B60-83D6-D13AAE6C6957}" name="Table29" displayName="Table29" ref="E150:E154" totalsRowShown="0" headerRowDxfId="7" headerRowBorderDxfId="6" tableBorderDxfId="5" totalsRowBorderDxfId="4">
  <autoFilter ref="E150:E154" xr:uid="{EB3D28DD-3DED-4B60-83D6-D13AAE6C6957}"/>
  <tableColumns count="1">
    <tableColumn id="1" xr3:uid="{4F51AF32-5BE3-4D7E-ACA2-3258DEB0C241}" name="Research travel "/>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F68A015-4E4B-4464-A229-6AAA29EDA333}" name="Table2931" displayName="Table2931" ref="G150:G154" totalsRowShown="0" headerRowDxfId="3" headerRowBorderDxfId="2" tableBorderDxfId="1" totalsRowBorderDxfId="0">
  <autoFilter ref="G150:G154" xr:uid="{EF68A015-4E4B-4464-A229-6AAA29EDA333}"/>
  <tableColumns count="1">
    <tableColumn id="1" xr3:uid="{098D7D0C-E847-4A18-97CE-FA26B71AEC27}" name="Research travel "/>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013769A-EA10-4C91-B838-B0317601B532}" name="Table31" displayName="Table31" ref="E156:E162" totalsRowShown="0">
  <autoFilter ref="E156:E162" xr:uid="{D013769A-EA10-4C91-B838-B0317601B532}"/>
  <tableColumns count="1">
    <tableColumn id="1" xr3:uid="{DD543684-FBB8-4438-A9B6-01BEA50CD6A9}" name="Column1"/>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0BBD871-568C-44AB-BFED-EEDAABB7BCE6}" name="Table533" displayName="Table533" ref="G116:G120" totalsRowShown="0">
  <autoFilter ref="G116:G120" xr:uid="{B0BBD871-568C-44AB-BFED-EEDAABB7BCE6}"/>
  <tableColumns count="1">
    <tableColumn id="1" xr3:uid="{173EB6B6-8A95-44B4-B44F-8A2B6CFC3284}" name="Select o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hyperlink" Target="https://www.ucd.ie/ppi/plan/budgetingforppi/"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sfi.ie/funding/sfi-policies-and-guidance/budget-finance-related-policies/SFI-Grant-Budget-Policy-March-2023-(5).pdf"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7.bin"/><Relationship Id="rId1" Type="http://schemas.openxmlformats.org/officeDocument/2006/relationships/hyperlink" Target="https://www.sfi.ie/funding/sfi-policies-and-guidance/budget-finance-related-policies/Grant-Budget-Policy-June-2021.pdf" TargetMode="External"/><Relationship Id="rId4" Type="http://schemas.openxmlformats.org/officeDocument/2006/relationships/table" Target="../tables/table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8" Type="http://schemas.openxmlformats.org/officeDocument/2006/relationships/table" Target="../tables/table14.xml"/><Relationship Id="rId13" Type="http://schemas.openxmlformats.org/officeDocument/2006/relationships/table" Target="../tables/table19.xml"/><Relationship Id="rId18" Type="http://schemas.openxmlformats.org/officeDocument/2006/relationships/table" Target="../tables/table24.xml"/><Relationship Id="rId26" Type="http://schemas.openxmlformats.org/officeDocument/2006/relationships/table" Target="../tables/table32.xml"/><Relationship Id="rId3" Type="http://schemas.openxmlformats.org/officeDocument/2006/relationships/table" Target="../tables/table9.xml"/><Relationship Id="rId21" Type="http://schemas.openxmlformats.org/officeDocument/2006/relationships/table" Target="../tables/table27.xml"/><Relationship Id="rId7" Type="http://schemas.openxmlformats.org/officeDocument/2006/relationships/table" Target="../tables/table13.xml"/><Relationship Id="rId12" Type="http://schemas.openxmlformats.org/officeDocument/2006/relationships/table" Target="../tables/table18.xml"/><Relationship Id="rId17" Type="http://schemas.openxmlformats.org/officeDocument/2006/relationships/table" Target="../tables/table23.xml"/><Relationship Id="rId25" Type="http://schemas.openxmlformats.org/officeDocument/2006/relationships/table" Target="../tables/table31.xml"/><Relationship Id="rId2" Type="http://schemas.openxmlformats.org/officeDocument/2006/relationships/table" Target="../tables/table8.xml"/><Relationship Id="rId16" Type="http://schemas.openxmlformats.org/officeDocument/2006/relationships/table" Target="../tables/table22.xml"/><Relationship Id="rId20" Type="http://schemas.openxmlformats.org/officeDocument/2006/relationships/table" Target="../tables/table26.xml"/><Relationship Id="rId29" Type="http://schemas.openxmlformats.org/officeDocument/2006/relationships/table" Target="../tables/table35.xml"/><Relationship Id="rId1" Type="http://schemas.openxmlformats.org/officeDocument/2006/relationships/printerSettings" Target="../printerSettings/printerSettings19.bin"/><Relationship Id="rId6" Type="http://schemas.openxmlformats.org/officeDocument/2006/relationships/table" Target="../tables/table12.xml"/><Relationship Id="rId11" Type="http://schemas.openxmlformats.org/officeDocument/2006/relationships/table" Target="../tables/table17.xml"/><Relationship Id="rId24" Type="http://schemas.openxmlformats.org/officeDocument/2006/relationships/table" Target="../tables/table30.xml"/><Relationship Id="rId5" Type="http://schemas.openxmlformats.org/officeDocument/2006/relationships/table" Target="../tables/table11.xml"/><Relationship Id="rId15" Type="http://schemas.openxmlformats.org/officeDocument/2006/relationships/table" Target="../tables/table21.xml"/><Relationship Id="rId23" Type="http://schemas.openxmlformats.org/officeDocument/2006/relationships/table" Target="../tables/table29.xml"/><Relationship Id="rId28" Type="http://schemas.openxmlformats.org/officeDocument/2006/relationships/table" Target="../tables/table34.xml"/><Relationship Id="rId10" Type="http://schemas.openxmlformats.org/officeDocument/2006/relationships/table" Target="../tables/table16.xml"/><Relationship Id="rId19" Type="http://schemas.openxmlformats.org/officeDocument/2006/relationships/table" Target="../tables/table25.xml"/><Relationship Id="rId31" Type="http://schemas.openxmlformats.org/officeDocument/2006/relationships/table" Target="../tables/table37.xml"/><Relationship Id="rId4" Type="http://schemas.openxmlformats.org/officeDocument/2006/relationships/table" Target="../tables/table10.xml"/><Relationship Id="rId9" Type="http://schemas.openxmlformats.org/officeDocument/2006/relationships/table" Target="../tables/table15.xml"/><Relationship Id="rId14" Type="http://schemas.openxmlformats.org/officeDocument/2006/relationships/table" Target="../tables/table20.xml"/><Relationship Id="rId22" Type="http://schemas.openxmlformats.org/officeDocument/2006/relationships/table" Target="../tables/table28.xml"/><Relationship Id="rId27" Type="http://schemas.openxmlformats.org/officeDocument/2006/relationships/table" Target="../tables/table33.xml"/><Relationship Id="rId30" Type="http://schemas.openxmlformats.org/officeDocument/2006/relationships/table" Target="../tables/table3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79C6B-DE95-4AC0-B337-925D066CF325}">
  <sheetPr codeName="Sheet1"/>
  <dimension ref="A1:N7"/>
  <sheetViews>
    <sheetView tabSelected="1" view="pageBreakPreview" zoomScaleNormal="100" zoomScaleSheetLayoutView="100" workbookViewId="0">
      <selection activeCell="J10" sqref="J10"/>
    </sheetView>
  </sheetViews>
  <sheetFormatPr defaultRowHeight="15" x14ac:dyDescent="0.25"/>
  <cols>
    <col min="7" max="7" width="8.28515625" customWidth="1"/>
    <col min="8" max="8" width="10.85546875" customWidth="1"/>
    <col min="11" max="11" width="28.140625" customWidth="1"/>
    <col min="13" max="16" width="0" hidden="1" customWidth="1"/>
  </cols>
  <sheetData>
    <row r="1" spans="1:14" x14ac:dyDescent="0.25">
      <c r="H1" s="451" t="s">
        <v>277</v>
      </c>
      <c r="I1" s="452"/>
      <c r="J1" s="452"/>
      <c r="K1" s="453"/>
      <c r="M1" s="313" t="s">
        <v>500</v>
      </c>
    </row>
    <row r="2" spans="1:14" x14ac:dyDescent="0.25">
      <c r="H2" s="454" t="s">
        <v>588</v>
      </c>
      <c r="I2" s="455"/>
      <c r="J2" s="455"/>
      <c r="K2" s="456"/>
      <c r="M2" t="s">
        <v>503</v>
      </c>
    </row>
    <row r="3" spans="1:14" x14ac:dyDescent="0.25">
      <c r="H3" s="454" t="s">
        <v>278</v>
      </c>
      <c r="I3" s="455"/>
      <c r="J3" s="455"/>
      <c r="K3" s="456"/>
      <c r="M3">
        <v>91509</v>
      </c>
      <c r="N3" t="s">
        <v>501</v>
      </c>
    </row>
    <row r="4" spans="1:14" x14ac:dyDescent="0.25">
      <c r="H4" s="457" t="s">
        <v>504</v>
      </c>
      <c r="I4" s="458"/>
      <c r="J4" s="458"/>
      <c r="K4" s="459"/>
      <c r="M4">
        <v>92056</v>
      </c>
      <c r="N4" t="s">
        <v>502</v>
      </c>
    </row>
    <row r="5" spans="1:14" ht="54.75" customHeight="1" thickBot="1" x14ac:dyDescent="0.3">
      <c r="A5" s="449" t="s">
        <v>589</v>
      </c>
      <c r="B5" s="450"/>
      <c r="C5" s="450"/>
      <c r="D5" s="450"/>
      <c r="E5" s="450"/>
      <c r="F5" s="450"/>
      <c r="G5" s="450"/>
      <c r="H5" s="460"/>
      <c r="I5" s="461"/>
      <c r="J5" s="461"/>
      <c r="K5" s="462"/>
    </row>
    <row r="6" spans="1:14" ht="15.75" thickBot="1" x14ac:dyDescent="0.3">
      <c r="H6" s="67"/>
      <c r="I6" s="62"/>
      <c r="J6" s="62"/>
      <c r="K6" s="65"/>
    </row>
    <row r="7" spans="1:14" x14ac:dyDescent="0.25">
      <c r="I7" t="s">
        <v>191</v>
      </c>
    </row>
  </sheetData>
  <mergeCells count="5">
    <mergeCell ref="A5:G5"/>
    <mergeCell ref="H1:K1"/>
    <mergeCell ref="H2:K2"/>
    <mergeCell ref="H3:K3"/>
    <mergeCell ref="H4:K5"/>
  </mergeCells>
  <pageMargins left="0.7" right="0.7" top="0.75" bottom="0.75" header="0.3" footer="0.3"/>
  <pageSetup paperSize="9"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2A5A-C6CC-4942-97DF-4708FFDD604E}">
  <sheetPr>
    <tabColor rgb="FF00B050"/>
    <pageSetUpPr fitToPage="1"/>
  </sheetPr>
  <dimension ref="A1:H7"/>
  <sheetViews>
    <sheetView view="pageBreakPreview" topLeftCell="A2" zoomScaleNormal="100" zoomScaleSheetLayoutView="100" workbookViewId="0">
      <selection activeCell="B20" sqref="B20:B21"/>
    </sheetView>
  </sheetViews>
  <sheetFormatPr defaultRowHeight="15" x14ac:dyDescent="0.25"/>
  <cols>
    <col min="1" max="1" width="11.28515625" customWidth="1"/>
    <col min="2" max="2" width="71.42578125" customWidth="1"/>
    <col min="3" max="6" width="14" bestFit="1" customWidth="1"/>
    <col min="7" max="7" width="14" customWidth="1"/>
    <col min="8" max="8" width="12.42578125" bestFit="1" customWidth="1"/>
  </cols>
  <sheetData>
    <row r="1" spans="1:8" s="227" customFormat="1" ht="18.75" x14ac:dyDescent="0.3">
      <c r="A1" s="228" t="s">
        <v>410</v>
      </c>
      <c r="B1" s="229"/>
      <c r="C1" s="230"/>
      <c r="D1" s="229"/>
      <c r="E1" s="229"/>
      <c r="F1" s="229"/>
      <c r="G1" s="229"/>
      <c r="H1" s="229"/>
    </row>
    <row r="2" spans="1:8" s="227" customFormat="1" ht="18.75" x14ac:dyDescent="0.3">
      <c r="A2" s="231" t="s">
        <v>261</v>
      </c>
      <c r="B2" s="229"/>
      <c r="C2" s="230"/>
      <c r="D2" s="229"/>
      <c r="E2" s="229"/>
      <c r="F2" s="229"/>
      <c r="G2" s="229"/>
      <c r="H2" s="229"/>
    </row>
    <row r="3" spans="1:8" s="227" customFormat="1" ht="18.75" x14ac:dyDescent="0.3">
      <c r="A3" s="231" t="s">
        <v>570</v>
      </c>
      <c r="B3" s="229"/>
      <c r="C3" s="230"/>
      <c r="D3" s="229"/>
      <c r="E3" s="229"/>
      <c r="F3" s="229"/>
      <c r="G3" s="229"/>
      <c r="H3" s="229"/>
    </row>
    <row r="4" spans="1:8" s="227" customFormat="1" x14ac:dyDescent="0.25">
      <c r="A4" s="232" t="s">
        <v>411</v>
      </c>
      <c r="B4" s="229" t="s">
        <v>370</v>
      </c>
      <c r="C4" s="229" t="s">
        <v>414</v>
      </c>
      <c r="D4" s="229"/>
      <c r="E4" s="229"/>
      <c r="F4" s="229"/>
      <c r="G4" s="229"/>
      <c r="H4" s="229"/>
    </row>
    <row r="5" spans="1:8" s="227" customFormat="1" x14ac:dyDescent="0.25">
      <c r="A5" s="232" t="s">
        <v>412</v>
      </c>
      <c r="B5" s="229" t="s">
        <v>398</v>
      </c>
      <c r="C5" s="229" t="s">
        <v>415</v>
      </c>
      <c r="D5" s="229"/>
      <c r="E5" s="229"/>
      <c r="F5" s="229"/>
      <c r="G5" s="229"/>
      <c r="H5" s="229"/>
    </row>
    <row r="6" spans="1:8" s="227" customFormat="1" x14ac:dyDescent="0.25">
      <c r="A6" s="232"/>
      <c r="B6" s="229"/>
      <c r="C6" s="229"/>
      <c r="D6" s="229"/>
      <c r="E6" s="229"/>
      <c r="F6" s="229"/>
      <c r="G6" s="229"/>
      <c r="H6" s="229"/>
    </row>
    <row r="7" spans="1:8" s="227" customFormat="1" x14ac:dyDescent="0.25">
      <c r="A7" s="229"/>
      <c r="B7" s="229"/>
      <c r="C7" s="229"/>
      <c r="D7" s="229"/>
      <c r="E7" s="229"/>
      <c r="F7" s="229"/>
      <c r="G7" s="229"/>
      <c r="H7" s="229"/>
    </row>
  </sheetData>
  <sheetProtection algorithmName="SHA-512" hashValue="dBHXtxohX+j0aCjUD6Yl2ZtHi5USzSqvoIuAmF0UAm9NQFIWG+SQLP1ToqUsPpu4eh7ljmHUM9Ex07A5r3p8xQ==" saltValue="JeHgzpoNBfYQii4J2NNHHg==" spinCount="100000" sheet="1" objects="1"/>
  <pageMargins left="0.70866141732283472" right="0.70866141732283472" top="0.74803149606299213" bottom="0.74803149606299213" header="0.31496062992125984" footer="0.31496062992125984"/>
  <pageSetup scale="54"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2DBF-4E9A-496C-8574-3A06A9C0839B}">
  <sheetPr codeName="Sheet3">
    <tabColor rgb="FF00B050"/>
    <pageSetUpPr fitToPage="1"/>
  </sheetPr>
  <dimension ref="A1:AA129"/>
  <sheetViews>
    <sheetView zoomScale="80" zoomScaleNormal="80" zoomScaleSheetLayoutView="100" workbookViewId="0">
      <selection activeCell="H8" sqref="H8"/>
    </sheetView>
  </sheetViews>
  <sheetFormatPr defaultRowHeight="15" x14ac:dyDescent="0.25"/>
  <cols>
    <col min="1" max="1" width="42" customWidth="1"/>
    <col min="2" max="2" width="63.42578125" customWidth="1"/>
    <col min="3" max="6" width="14" bestFit="1" customWidth="1"/>
    <col min="7" max="7" width="14" customWidth="1"/>
    <col min="8" max="8" width="12.42578125" bestFit="1" customWidth="1"/>
    <col min="10" max="10" width="18.5703125" hidden="1" customWidth="1"/>
    <col min="11" max="11" width="8.85546875" hidden="1" customWidth="1"/>
    <col min="12" max="12" width="13.7109375" hidden="1" customWidth="1"/>
    <col min="13" max="13" width="14.85546875" hidden="1" customWidth="1"/>
    <col min="14" max="14" width="3.5703125" hidden="1" customWidth="1"/>
    <col min="15" max="15" width="13.7109375" hidden="1" customWidth="1"/>
    <col min="16" max="16" width="10.42578125" hidden="1" customWidth="1"/>
    <col min="17" max="17" width="5.5703125" hidden="1" customWidth="1"/>
    <col min="18" max="18" width="13.7109375" hidden="1" customWidth="1"/>
    <col min="19" max="19" width="14.7109375" hidden="1" customWidth="1"/>
    <col min="20" max="20" width="8.85546875" hidden="1" customWidth="1"/>
    <col min="21" max="21" width="13.7109375" hidden="1" customWidth="1"/>
    <col min="22" max="22" width="10.42578125" hidden="1" customWidth="1"/>
    <col min="23" max="23" width="8.85546875" hidden="1" customWidth="1"/>
    <col min="24" max="24" width="13.7109375" hidden="1" customWidth="1"/>
    <col min="25" max="25" width="17.7109375" hidden="1" customWidth="1"/>
    <col min="26" max="27" width="8.85546875" customWidth="1"/>
  </cols>
  <sheetData>
    <row r="1" spans="1:27" ht="18.75" x14ac:dyDescent="0.3">
      <c r="A1" s="109" t="s">
        <v>370</v>
      </c>
      <c r="B1" s="106"/>
      <c r="C1" s="108"/>
      <c r="D1" s="106"/>
      <c r="E1" s="106"/>
      <c r="F1" s="106"/>
      <c r="G1" s="106"/>
      <c r="J1" s="85" t="s">
        <v>193</v>
      </c>
      <c r="K1" s="85">
        <v>12</v>
      </c>
      <c r="L1" s="1"/>
      <c r="Z1" t="s">
        <v>526</v>
      </c>
      <c r="AA1" s="341">
        <v>0.1105</v>
      </c>
    </row>
    <row r="2" spans="1:27" ht="18.75" x14ac:dyDescent="0.3">
      <c r="A2" s="110" t="s">
        <v>261</v>
      </c>
      <c r="B2" s="106"/>
      <c r="C2" s="108"/>
      <c r="D2" s="106"/>
      <c r="E2" s="106"/>
      <c r="F2" s="106"/>
      <c r="G2" s="106"/>
      <c r="J2" s="85"/>
      <c r="K2" s="85"/>
      <c r="L2" s="1"/>
      <c r="Z2" t="s">
        <v>527</v>
      </c>
      <c r="AA2" s="4">
        <v>0.2</v>
      </c>
    </row>
    <row r="3" spans="1:27" ht="18.75" x14ac:dyDescent="0.3">
      <c r="A3" s="110" t="s">
        <v>372</v>
      </c>
      <c r="B3" s="106"/>
      <c r="C3" s="108"/>
      <c r="D3" s="106"/>
      <c r="E3" s="106"/>
      <c r="F3" s="106"/>
      <c r="G3" s="106"/>
      <c r="J3" s="85"/>
      <c r="K3" s="85"/>
      <c r="L3" s="1"/>
    </row>
    <row r="4" spans="1:27" ht="36" customHeight="1" thickBot="1" x14ac:dyDescent="0.35">
      <c r="A4" s="467" t="s">
        <v>373</v>
      </c>
      <c r="B4" s="467"/>
      <c r="C4" s="108"/>
      <c r="D4" s="106"/>
      <c r="E4" s="106"/>
      <c r="F4" s="106"/>
      <c r="G4" s="106"/>
      <c r="J4" s="85"/>
      <c r="K4" s="85"/>
      <c r="L4" s="1"/>
    </row>
    <row r="5" spans="1:27" ht="18.75" x14ac:dyDescent="0.3">
      <c r="A5" s="210" t="s">
        <v>371</v>
      </c>
      <c r="B5" s="74"/>
      <c r="C5" s="6" t="s">
        <v>109</v>
      </c>
      <c r="D5" s="6" t="s">
        <v>110</v>
      </c>
      <c r="E5" s="6" t="s">
        <v>111</v>
      </c>
      <c r="F5" s="6" t="s">
        <v>112</v>
      </c>
      <c r="G5" s="59"/>
    </row>
    <row r="6" spans="1:27" x14ac:dyDescent="0.25">
      <c r="A6" s="55"/>
      <c r="C6" s="101" t="s">
        <v>117</v>
      </c>
      <c r="D6" s="101" t="s">
        <v>125</v>
      </c>
      <c r="E6" s="101" t="s">
        <v>219</v>
      </c>
      <c r="F6" s="101" t="s">
        <v>351</v>
      </c>
      <c r="G6" s="61" t="s">
        <v>12</v>
      </c>
    </row>
    <row r="7" spans="1:27" ht="15.75" thickBot="1" x14ac:dyDescent="0.3">
      <c r="A7" s="60" t="s">
        <v>374</v>
      </c>
      <c r="B7" s="1" t="s">
        <v>375</v>
      </c>
      <c r="C7" s="3" t="s">
        <v>5</v>
      </c>
      <c r="D7" s="3" t="s">
        <v>5</v>
      </c>
      <c r="E7" s="3" t="s">
        <v>5</v>
      </c>
      <c r="F7" s="3" t="s">
        <v>5</v>
      </c>
      <c r="G7" s="61" t="s">
        <v>6</v>
      </c>
    </row>
    <row r="8" spans="1:27" x14ac:dyDescent="0.25">
      <c r="A8" s="463" t="s">
        <v>195</v>
      </c>
      <c r="B8" s="344" t="s">
        <v>122</v>
      </c>
      <c r="C8" s="54" t="str">
        <f>IFERROR(VLOOKUP(B8,'Researcher Salary Scales. '!$A$7:$V$59,10,FALSE)/($K$1)*D71*C71,(" "))</f>
        <v xml:space="preserve"> </v>
      </c>
      <c r="D8" s="54" t="str" cm="1">
        <f t="array" ref="D8">IFERROR(INDEX('Researcher Salary Scales. '!$A$7:$V$59,MATCH(B8,'Researcher Salary Scales. '!$A$7:$A$59,0)+1,14)/($K$1)*E71*C71,(" "))</f>
        <v xml:space="preserve"> </v>
      </c>
      <c r="E8" s="54" t="str" cm="1">
        <f t="array" ref="E8">IFERROR(INDEX('Researcher Salary Scales. '!$A$7:$V$59,MATCH(B8,'Researcher Salary Scales. '!$A$7:$A$59,0)+2,18)/($K$1)*F71*C71,(" "))</f>
        <v xml:space="preserve"> </v>
      </c>
      <c r="F8" s="54" t="str" cm="1">
        <f t="array" ref="F8">IFERROR(INDEX('Researcher Salary Scales. '!$A$7:$V$59,MATCH(B8,'Researcher Salary Scales. '!$A$7:$A$56,0)+3,22)/($K$1)*G71*C71,(" "))</f>
        <v xml:space="preserve"> </v>
      </c>
      <c r="G8" s="326">
        <f>SUM(C8:F8)</f>
        <v>0</v>
      </c>
    </row>
    <row r="9" spans="1:27" x14ac:dyDescent="0.25">
      <c r="A9" s="464"/>
      <c r="B9" s="345" t="s">
        <v>522</v>
      </c>
      <c r="C9" s="54" t="str">
        <f>IFERROR(C8*$AA$1, " ")</f>
        <v xml:space="preserve"> </v>
      </c>
      <c r="D9" s="54" t="str">
        <f t="shared" ref="D9:F9" si="0">IFERROR(D8*$AA$1, " ")</f>
        <v xml:space="preserve"> </v>
      </c>
      <c r="E9" s="54" t="str">
        <f t="shared" si="0"/>
        <v xml:space="preserve"> </v>
      </c>
      <c r="F9" s="54" t="str">
        <f t="shared" si="0"/>
        <v xml:space="preserve"> </v>
      </c>
      <c r="G9" s="326">
        <f>SUM(C9:F9)</f>
        <v>0</v>
      </c>
    </row>
    <row r="10" spans="1:27" x14ac:dyDescent="0.25">
      <c r="A10" s="464"/>
      <c r="B10" s="345" t="s">
        <v>523</v>
      </c>
      <c r="C10" s="54" t="str">
        <f>IFERROR(C8*$AA$2, " ")</f>
        <v xml:space="preserve"> </v>
      </c>
      <c r="D10" s="54" t="str">
        <f t="shared" ref="D10:F10" si="1">IFERROR(D8*$AA$2, " ")</f>
        <v xml:space="preserve"> </v>
      </c>
      <c r="E10" s="54" t="str">
        <f t="shared" si="1"/>
        <v xml:space="preserve"> </v>
      </c>
      <c r="F10" s="54" t="str">
        <f t="shared" si="1"/>
        <v xml:space="preserve"> </v>
      </c>
      <c r="G10" s="326">
        <f t="shared" ref="G10:G56" si="2">SUM(C10:F10)</f>
        <v>0</v>
      </c>
    </row>
    <row r="11" spans="1:27" ht="15.75" thickBot="1" x14ac:dyDescent="0.3">
      <c r="A11" s="466"/>
      <c r="B11" s="346" t="s">
        <v>524</v>
      </c>
      <c r="C11" s="54">
        <f>IFERROR(SUM(C8:C10)," ")</f>
        <v>0</v>
      </c>
      <c r="D11" s="54">
        <f t="shared" ref="D11:F11" si="3">IFERROR(SUM(D8:D10)," ")</f>
        <v>0</v>
      </c>
      <c r="E11" s="54">
        <f t="shared" si="3"/>
        <v>0</v>
      </c>
      <c r="F11" s="54">
        <f t="shared" si="3"/>
        <v>0</v>
      </c>
      <c r="G11" s="326">
        <f t="shared" si="2"/>
        <v>0</v>
      </c>
    </row>
    <row r="12" spans="1:27" x14ac:dyDescent="0.25">
      <c r="A12" s="463" t="s">
        <v>196</v>
      </c>
      <c r="B12" s="347" t="s">
        <v>122</v>
      </c>
      <c r="C12" s="54" t="str">
        <f>IFERROR(VLOOKUP(B12,'Researcher Salary Scales. '!$A$7:$V$59,10,FALSE)/($K$1)*D72*C72,(" "))</f>
        <v xml:space="preserve"> </v>
      </c>
      <c r="D12" s="54" t="str" cm="1">
        <f t="array" ref="D12">IFERROR(INDEX('Researcher Salary Scales. '!$A$7:$V$59,MATCH(B12,'Researcher Salary Scales. '!$A$7:$A$59,0)+1,14)/($K$1)*E72*C72,(" "))</f>
        <v xml:space="preserve"> </v>
      </c>
      <c r="E12" s="54" t="str" cm="1">
        <f t="array" ref="E12">IFERROR(INDEX('Researcher Salary Scales. '!$A$7:$V$59,MATCH(B12,'Researcher Salary Scales. '!$A$7:$A$59,0)+2,18)/($K$1)*F72*C72,(" "))</f>
        <v xml:space="preserve"> </v>
      </c>
      <c r="F12" s="54" t="str" cm="1">
        <f t="array" ref="F12">IFERROR(INDEX('Researcher Salary Scales. '!$A$7:$V$59,MATCH(B12,'Researcher Salary Scales. '!$A$7:$A$56,0)+3,22)/($K$1)*G72*C72,(" "))</f>
        <v xml:space="preserve"> </v>
      </c>
      <c r="G12" s="326">
        <f t="shared" si="2"/>
        <v>0</v>
      </c>
    </row>
    <row r="13" spans="1:27" x14ac:dyDescent="0.25">
      <c r="A13" s="464"/>
      <c r="B13" s="345" t="s">
        <v>522</v>
      </c>
      <c r="C13" s="54" t="str">
        <f>IFERROR(C12*$AA$1, " ")</f>
        <v xml:space="preserve"> </v>
      </c>
      <c r="D13" s="54" t="str">
        <f t="shared" ref="D13" si="4">IFERROR(D12*$AA$1, " ")</f>
        <v xml:space="preserve"> </v>
      </c>
      <c r="E13" s="54" t="str">
        <f t="shared" ref="E13" si="5">IFERROR(E12*$AA$1, " ")</f>
        <v xml:space="preserve"> </v>
      </c>
      <c r="F13" s="54" t="str">
        <f t="shared" ref="F13" si="6">IFERROR(F12*$AA$1, " ")</f>
        <v xml:space="preserve"> </v>
      </c>
      <c r="G13" s="326">
        <f t="shared" si="2"/>
        <v>0</v>
      </c>
    </row>
    <row r="14" spans="1:27" x14ac:dyDescent="0.25">
      <c r="A14" s="464"/>
      <c r="B14" s="345" t="s">
        <v>523</v>
      </c>
      <c r="C14" s="54" t="str">
        <f>IFERROR(C12*$AA$2, " ")</f>
        <v xml:space="preserve"> </v>
      </c>
      <c r="D14" s="54" t="str">
        <f t="shared" ref="D14:F14" si="7">IFERROR(D12*$AA$2, " ")</f>
        <v xml:space="preserve"> </v>
      </c>
      <c r="E14" s="54" t="str">
        <f t="shared" si="7"/>
        <v xml:space="preserve"> </v>
      </c>
      <c r="F14" s="54" t="str">
        <f t="shared" si="7"/>
        <v xml:space="preserve"> </v>
      </c>
      <c r="G14" s="326">
        <f t="shared" si="2"/>
        <v>0</v>
      </c>
    </row>
    <row r="15" spans="1:27" ht="15.75" thickBot="1" x14ac:dyDescent="0.3">
      <c r="A15" s="466"/>
      <c r="B15" s="346" t="s">
        <v>524</v>
      </c>
      <c r="C15" s="54">
        <f>IFERROR(SUM(C12:C14)," ")</f>
        <v>0</v>
      </c>
      <c r="D15" s="54">
        <f t="shared" ref="D15" si="8">IFERROR(SUM(D12:D14)," ")</f>
        <v>0</v>
      </c>
      <c r="E15" s="54">
        <f t="shared" ref="E15" si="9">IFERROR(SUM(E12:E14)," ")</f>
        <v>0</v>
      </c>
      <c r="F15" s="54">
        <f t="shared" ref="F15" si="10">IFERROR(SUM(F12:F14)," ")</f>
        <v>0</v>
      </c>
      <c r="G15" s="326">
        <f t="shared" si="2"/>
        <v>0</v>
      </c>
    </row>
    <row r="16" spans="1:27" x14ac:dyDescent="0.25">
      <c r="A16" s="463" t="s">
        <v>197</v>
      </c>
      <c r="B16" s="347" t="s">
        <v>122</v>
      </c>
      <c r="C16" s="54" t="str">
        <f>IFERROR(VLOOKUP(B16,'Researcher Salary Scales. '!$A$7:$V$59,10,FALSE)/($K$1)*D73*C73,(" "))</f>
        <v xml:space="preserve"> </v>
      </c>
      <c r="D16" s="54" t="str" cm="1">
        <f t="array" ref="D16">IFERROR(INDEX('Researcher Salary Scales. '!$A$7:$V$59,MATCH(B16,'Researcher Salary Scales. '!$A$7:$A$59,0)+1,14)/($K$1)*E73*C73,(" "))</f>
        <v xml:space="preserve"> </v>
      </c>
      <c r="E16" s="54" t="str" cm="1">
        <f t="array" ref="E16">IFERROR(INDEX('Researcher Salary Scales. '!$A$7:$V$59,MATCH(B16,'Researcher Salary Scales. '!$A$7:$A$59,0)+2,18)/($K$1)*F73*C73,(" "))</f>
        <v xml:space="preserve"> </v>
      </c>
      <c r="F16" s="54" t="str" cm="1">
        <f t="array" ref="F16">IFERROR(INDEX('Researcher Salary Scales. '!$A$7:$V$59,MATCH(B16,'Researcher Salary Scales. '!$A$7:$A$56,0)+3,22)/($K$1)*G73*C73,(" "))</f>
        <v xml:space="preserve"> </v>
      </c>
      <c r="G16" s="326">
        <f t="shared" si="2"/>
        <v>0</v>
      </c>
    </row>
    <row r="17" spans="1:7" x14ac:dyDescent="0.25">
      <c r="A17" s="464"/>
      <c r="B17" s="345" t="s">
        <v>522</v>
      </c>
      <c r="C17" s="54" t="str">
        <f>IFERROR(C16*$AA$1, " ")</f>
        <v xml:space="preserve"> </v>
      </c>
      <c r="D17" s="54" t="str">
        <f t="shared" ref="D17" si="11">IFERROR(D16*$AA$1, " ")</f>
        <v xml:space="preserve"> </v>
      </c>
      <c r="E17" s="54" t="str">
        <f t="shared" ref="E17" si="12">IFERROR(E16*$AA$1, " ")</f>
        <v xml:space="preserve"> </v>
      </c>
      <c r="F17" s="54" t="str">
        <f t="shared" ref="F17" si="13">IFERROR(F16*$AA$1, " ")</f>
        <v xml:space="preserve"> </v>
      </c>
      <c r="G17" s="326">
        <f t="shared" si="2"/>
        <v>0</v>
      </c>
    </row>
    <row r="18" spans="1:7" x14ac:dyDescent="0.25">
      <c r="A18" s="464"/>
      <c r="B18" s="345" t="s">
        <v>523</v>
      </c>
      <c r="C18" s="54" t="str">
        <f>IFERROR(C16*$AA$2, " ")</f>
        <v xml:space="preserve"> </v>
      </c>
      <c r="D18" s="54" t="str">
        <f t="shared" ref="D18:F18" si="14">IFERROR(D16*$AA$2, " ")</f>
        <v xml:space="preserve"> </v>
      </c>
      <c r="E18" s="54" t="str">
        <f t="shared" si="14"/>
        <v xml:space="preserve"> </v>
      </c>
      <c r="F18" s="54" t="str">
        <f t="shared" si="14"/>
        <v xml:space="preserve"> </v>
      </c>
      <c r="G18" s="326">
        <f t="shared" si="2"/>
        <v>0</v>
      </c>
    </row>
    <row r="19" spans="1:7" ht="15.75" thickBot="1" x14ac:dyDescent="0.3">
      <c r="A19" s="466"/>
      <c r="B19" s="346" t="s">
        <v>524</v>
      </c>
      <c r="C19" s="54">
        <f>IFERROR(SUM(C16:C18)," ")</f>
        <v>0</v>
      </c>
      <c r="D19" s="54">
        <f t="shared" ref="D19" si="15">IFERROR(SUM(D16:D18)," ")</f>
        <v>0</v>
      </c>
      <c r="E19" s="54">
        <f t="shared" ref="E19" si="16">IFERROR(SUM(E16:E18)," ")</f>
        <v>0</v>
      </c>
      <c r="F19" s="54">
        <f t="shared" ref="F19" si="17">IFERROR(SUM(F16:F18)," ")</f>
        <v>0</v>
      </c>
      <c r="G19" s="326">
        <f t="shared" si="2"/>
        <v>0</v>
      </c>
    </row>
    <row r="20" spans="1:7" x14ac:dyDescent="0.25">
      <c r="A20" s="463" t="s">
        <v>198</v>
      </c>
      <c r="B20" s="347" t="s">
        <v>122</v>
      </c>
      <c r="C20" s="54" t="str">
        <f>IFERROR(VLOOKUP(B20,'Researcher Salary Scales. '!$A$7:$V$59,10,FALSE)/($K$1)*D74*C74,(" "))</f>
        <v xml:space="preserve"> </v>
      </c>
      <c r="D20" s="54" t="str" cm="1">
        <f t="array" ref="D20">IFERROR(INDEX('Researcher Salary Scales. '!$A$7:$V$59,MATCH(B20,'Researcher Salary Scales. '!$A$7:$A$59,0)+1,14)/($K$1)*E74*C74,(" "))</f>
        <v xml:space="preserve"> </v>
      </c>
      <c r="E20" s="54" t="str" cm="1">
        <f t="array" ref="E20">IFERROR(INDEX('Researcher Salary Scales. '!$A$7:$V$59,MATCH(B20,'Researcher Salary Scales. '!$A$7:$A$59,0)+2,18)/($K$1)*F74*C74,(" "))</f>
        <v xml:space="preserve"> </v>
      </c>
      <c r="F20" s="54" t="str" cm="1">
        <f t="array" ref="F20">IFERROR(INDEX('Researcher Salary Scales. '!$A$7:$V$59,MATCH(B20,'Researcher Salary Scales. '!$A$7:$A$56,0)+3,22)/($K$1)*G74*C74,(" "))</f>
        <v xml:space="preserve"> </v>
      </c>
      <c r="G20" s="326">
        <f t="shared" si="2"/>
        <v>0</v>
      </c>
    </row>
    <row r="21" spans="1:7" x14ac:dyDescent="0.25">
      <c r="A21" s="464"/>
      <c r="B21" s="345" t="s">
        <v>522</v>
      </c>
      <c r="C21" s="54" t="str">
        <f>IFERROR(C20*$AA$1, " ")</f>
        <v xml:space="preserve"> </v>
      </c>
      <c r="D21" s="54" t="str">
        <f t="shared" ref="D21" si="18">IFERROR(D20*$AA$1, " ")</f>
        <v xml:space="preserve"> </v>
      </c>
      <c r="E21" s="54" t="str">
        <f t="shared" ref="E21" si="19">IFERROR(E20*$AA$1, " ")</f>
        <v xml:space="preserve"> </v>
      </c>
      <c r="F21" s="54" t="str">
        <f t="shared" ref="F21" si="20">IFERROR(F20*$AA$1, " ")</f>
        <v xml:space="preserve"> </v>
      </c>
      <c r="G21" s="326">
        <f t="shared" si="2"/>
        <v>0</v>
      </c>
    </row>
    <row r="22" spans="1:7" x14ac:dyDescent="0.25">
      <c r="A22" s="464"/>
      <c r="B22" s="345" t="s">
        <v>523</v>
      </c>
      <c r="C22" s="54" t="str">
        <f>IFERROR(C20*$AA$2, " ")</f>
        <v xml:space="preserve"> </v>
      </c>
      <c r="D22" s="54" t="str">
        <f t="shared" ref="D22:F22" si="21">IFERROR(D20*$AA$2, " ")</f>
        <v xml:space="preserve"> </v>
      </c>
      <c r="E22" s="54" t="str">
        <f t="shared" si="21"/>
        <v xml:space="preserve"> </v>
      </c>
      <c r="F22" s="54" t="str">
        <f t="shared" si="21"/>
        <v xml:space="preserve"> </v>
      </c>
      <c r="G22" s="326">
        <f t="shared" si="2"/>
        <v>0</v>
      </c>
    </row>
    <row r="23" spans="1:7" ht="15.75" thickBot="1" x14ac:dyDescent="0.3">
      <c r="A23" s="466"/>
      <c r="B23" s="346" t="s">
        <v>524</v>
      </c>
      <c r="C23" s="54">
        <f>IFERROR(SUM(C20:C22)," ")</f>
        <v>0</v>
      </c>
      <c r="D23" s="54">
        <f t="shared" ref="D23" si="22">IFERROR(SUM(D20:D22)," ")</f>
        <v>0</v>
      </c>
      <c r="E23" s="54">
        <f t="shared" ref="E23" si="23">IFERROR(SUM(E20:E22)," ")</f>
        <v>0</v>
      </c>
      <c r="F23" s="54">
        <f t="shared" ref="F23" si="24">IFERROR(SUM(F20:F22)," ")</f>
        <v>0</v>
      </c>
      <c r="G23" s="326">
        <f t="shared" si="2"/>
        <v>0</v>
      </c>
    </row>
    <row r="24" spans="1:7" x14ac:dyDescent="0.25">
      <c r="A24" s="463" t="s">
        <v>199</v>
      </c>
      <c r="B24" s="347" t="s">
        <v>122</v>
      </c>
      <c r="C24" s="54" t="str">
        <f>IFERROR(VLOOKUP(B24,'Researcher Salary Scales. '!$A$7:$V$59,10,FALSE)/($K$1)*D75*C75,(" "))</f>
        <v xml:space="preserve"> </v>
      </c>
      <c r="D24" s="54" t="str" cm="1">
        <f t="array" ref="D24">IFERROR(INDEX('Researcher Salary Scales. '!$A$7:$V$59,MATCH(B24,'Researcher Salary Scales. '!$A$7:$A$59,0)+1,14)/($K$1)*E75*C75,(" "))</f>
        <v xml:space="preserve"> </v>
      </c>
      <c r="E24" s="54" t="str" cm="1">
        <f t="array" ref="E24">IFERROR(INDEX('Researcher Salary Scales. '!$A$7:$V$59,MATCH(B24,'Researcher Salary Scales. '!$A$7:$A$59,0)+2,18)/($K$1)*F75*C75,(" "))</f>
        <v xml:space="preserve"> </v>
      </c>
      <c r="F24" s="54" t="str" cm="1">
        <f t="array" ref="F24">IFERROR(INDEX('Researcher Salary Scales. '!$A$7:$V$59,MATCH(B24,'Researcher Salary Scales. '!$A$7:$A$56,0)+3,22)/($K$1)*G75*C75,(" "))</f>
        <v xml:space="preserve"> </v>
      </c>
      <c r="G24" s="326">
        <f t="shared" si="2"/>
        <v>0</v>
      </c>
    </row>
    <row r="25" spans="1:7" x14ac:dyDescent="0.25">
      <c r="A25" s="464"/>
      <c r="B25" s="345" t="s">
        <v>522</v>
      </c>
      <c r="C25" s="54" t="str">
        <f>IFERROR(C24*$AA$1, " ")</f>
        <v xml:space="preserve"> </v>
      </c>
      <c r="D25" s="54" t="str">
        <f t="shared" ref="D25" si="25">IFERROR(D24*$AA$1, " ")</f>
        <v xml:space="preserve"> </v>
      </c>
      <c r="E25" s="54" t="str">
        <f t="shared" ref="E25" si="26">IFERROR(E24*$AA$1, " ")</f>
        <v xml:space="preserve"> </v>
      </c>
      <c r="F25" s="54" t="str">
        <f t="shared" ref="F25" si="27">IFERROR(F24*$AA$1, " ")</f>
        <v xml:space="preserve"> </v>
      </c>
      <c r="G25" s="326">
        <f t="shared" si="2"/>
        <v>0</v>
      </c>
    </row>
    <row r="26" spans="1:7" x14ac:dyDescent="0.25">
      <c r="A26" s="464"/>
      <c r="B26" s="345" t="s">
        <v>523</v>
      </c>
      <c r="C26" s="54" t="str">
        <f>IFERROR(C24*$AA$2, " ")</f>
        <v xml:space="preserve"> </v>
      </c>
      <c r="D26" s="54" t="str">
        <f t="shared" ref="D26:F26" si="28">IFERROR(D24*$AA$2, " ")</f>
        <v xml:space="preserve"> </v>
      </c>
      <c r="E26" s="54" t="str">
        <f t="shared" si="28"/>
        <v xml:space="preserve"> </v>
      </c>
      <c r="F26" s="54" t="str">
        <f t="shared" si="28"/>
        <v xml:space="preserve"> </v>
      </c>
      <c r="G26" s="326">
        <f t="shared" si="2"/>
        <v>0</v>
      </c>
    </row>
    <row r="27" spans="1:7" ht="15.75" thickBot="1" x14ac:dyDescent="0.3">
      <c r="A27" s="466"/>
      <c r="B27" s="346" t="s">
        <v>524</v>
      </c>
      <c r="C27" s="54">
        <f>IFERROR(SUM(C24:C26)," ")</f>
        <v>0</v>
      </c>
      <c r="D27" s="54">
        <f t="shared" ref="D27" si="29">IFERROR(SUM(D24:D26)," ")</f>
        <v>0</v>
      </c>
      <c r="E27" s="54">
        <f t="shared" ref="E27" si="30">IFERROR(SUM(E24:E26)," ")</f>
        <v>0</v>
      </c>
      <c r="F27" s="54">
        <f t="shared" ref="F27" si="31">IFERROR(SUM(F24:F26)," ")</f>
        <v>0</v>
      </c>
      <c r="G27" s="326">
        <f t="shared" si="2"/>
        <v>0</v>
      </c>
    </row>
    <row r="28" spans="1:7" x14ac:dyDescent="0.25">
      <c r="A28" s="463" t="s">
        <v>516</v>
      </c>
      <c r="B28" s="347" t="s">
        <v>122</v>
      </c>
      <c r="C28" s="54" t="str">
        <f>IFERROR(VLOOKUP(B28,'Researcher Salary Scales. '!$A$7:$V$59,10,FALSE)/($K$1)*D76*C76,(" "))</f>
        <v xml:space="preserve"> </v>
      </c>
      <c r="D28" s="54" t="str" cm="1">
        <f t="array" ref="D28">IFERROR(INDEX('Researcher Salary Scales. '!$A$7:$V$59,MATCH(B28,'Researcher Salary Scales. '!$A$7:$A$59,0)+1,14)/($K$1)*E76*C76,(" "))</f>
        <v xml:space="preserve"> </v>
      </c>
      <c r="E28" s="54" t="str" cm="1">
        <f t="array" ref="E28">IFERROR(INDEX('Researcher Salary Scales. '!$A$7:$V$59,MATCH(B28,'Researcher Salary Scales. '!$A$7:$A$59,0)+2,18)/($K$1)*F76*C76,(" "))</f>
        <v xml:space="preserve"> </v>
      </c>
      <c r="F28" s="54" t="str" cm="1">
        <f t="array" ref="F28">IFERROR(INDEX('Researcher Salary Scales. '!$A$7:$V$59,MATCH(B28,'Researcher Salary Scales. '!$A$7:$A$56,0)+3,22)/($K$1)*G76*C76,(" "))</f>
        <v xml:space="preserve"> </v>
      </c>
      <c r="G28" s="326">
        <f t="shared" si="2"/>
        <v>0</v>
      </c>
    </row>
    <row r="29" spans="1:7" x14ac:dyDescent="0.25">
      <c r="A29" s="464"/>
      <c r="B29" s="345" t="s">
        <v>522</v>
      </c>
      <c r="C29" s="54" t="str">
        <f>IFERROR(C28*$AA$1, " ")</f>
        <v xml:space="preserve"> </v>
      </c>
      <c r="D29" s="54" t="str">
        <f t="shared" ref="D29" si="32">IFERROR(D28*$AA$1, " ")</f>
        <v xml:space="preserve"> </v>
      </c>
      <c r="E29" s="54" t="str">
        <f t="shared" ref="E29" si="33">IFERROR(E28*$AA$1, " ")</f>
        <v xml:space="preserve"> </v>
      </c>
      <c r="F29" s="54" t="str">
        <f t="shared" ref="F29" si="34">IFERROR(F28*$AA$1, " ")</f>
        <v xml:space="preserve"> </v>
      </c>
      <c r="G29" s="326">
        <f t="shared" si="2"/>
        <v>0</v>
      </c>
    </row>
    <row r="30" spans="1:7" x14ac:dyDescent="0.25">
      <c r="A30" s="464"/>
      <c r="B30" s="345" t="s">
        <v>523</v>
      </c>
      <c r="C30" s="54" t="str">
        <f>IFERROR(C28*$AA$2, " ")</f>
        <v xml:space="preserve"> </v>
      </c>
      <c r="D30" s="54" t="str">
        <f t="shared" ref="D30:F30" si="35">IFERROR(D28*$AA$2, " ")</f>
        <v xml:space="preserve"> </v>
      </c>
      <c r="E30" s="54" t="str">
        <f t="shared" si="35"/>
        <v xml:space="preserve"> </v>
      </c>
      <c r="F30" s="54" t="str">
        <f t="shared" si="35"/>
        <v xml:space="preserve"> </v>
      </c>
      <c r="G30" s="326">
        <f t="shared" si="2"/>
        <v>0</v>
      </c>
    </row>
    <row r="31" spans="1:7" ht="15.75" thickBot="1" x14ac:dyDescent="0.3">
      <c r="A31" s="466"/>
      <c r="B31" s="346" t="s">
        <v>524</v>
      </c>
      <c r="C31" s="54">
        <f>IFERROR(SUM(C28:C30)," ")</f>
        <v>0</v>
      </c>
      <c r="D31" s="54">
        <f t="shared" ref="D31" si="36">IFERROR(SUM(D28:D30)," ")</f>
        <v>0</v>
      </c>
      <c r="E31" s="54">
        <f t="shared" ref="E31" si="37">IFERROR(SUM(E28:E30)," ")</f>
        <v>0</v>
      </c>
      <c r="F31" s="54">
        <f t="shared" ref="F31" si="38">IFERROR(SUM(F28:F30)," ")</f>
        <v>0</v>
      </c>
      <c r="G31" s="326">
        <f t="shared" si="2"/>
        <v>0</v>
      </c>
    </row>
    <row r="32" spans="1:7" x14ac:dyDescent="0.25">
      <c r="A32" s="463" t="s">
        <v>517</v>
      </c>
      <c r="B32" s="347" t="s">
        <v>122</v>
      </c>
      <c r="C32" s="54" t="str">
        <f>IFERROR(VLOOKUP(B32,'Researcher Salary Scales. '!$A$7:$V$59,10,FALSE)/($K$1)*D77*C77,(" "))</f>
        <v xml:space="preserve"> </v>
      </c>
      <c r="D32" s="54" t="str" cm="1">
        <f t="array" ref="D32">IFERROR(INDEX('Researcher Salary Scales. '!$A$7:$V$59,MATCH(B32,'Researcher Salary Scales. '!$A$7:$A$59,0)+1,14)/($K$1)*E77*C77,(" "))</f>
        <v xml:space="preserve"> </v>
      </c>
      <c r="E32" s="54" t="str" cm="1">
        <f t="array" ref="E32">IFERROR(INDEX('Researcher Salary Scales. '!$A$7:$V$59,MATCH(B32,'Researcher Salary Scales. '!$A$7:$A$59,0)+2,18)/($K$1)*F77*C77,(" "))</f>
        <v xml:space="preserve"> </v>
      </c>
      <c r="F32" s="54" t="str" cm="1">
        <f t="array" ref="F32">IFERROR(INDEX('Researcher Salary Scales. '!$A$7:$V$59,MATCH(B32,'Researcher Salary Scales. '!$A$7:$A$56,0)+3,22)/($K$1)*G77*C77,(" "))</f>
        <v xml:space="preserve"> </v>
      </c>
      <c r="G32" s="326">
        <f t="shared" si="2"/>
        <v>0</v>
      </c>
    </row>
    <row r="33" spans="1:25" x14ac:dyDescent="0.25">
      <c r="A33" s="464"/>
      <c r="B33" s="345" t="s">
        <v>522</v>
      </c>
      <c r="C33" s="54" t="str">
        <f>IFERROR(C32*$AA$1, " ")</f>
        <v xml:space="preserve"> </v>
      </c>
      <c r="D33" s="54" t="str">
        <f t="shared" ref="D33" si="39">IFERROR(D32*$AA$1, " ")</f>
        <v xml:space="preserve"> </v>
      </c>
      <c r="E33" s="54" t="str">
        <f t="shared" ref="E33" si="40">IFERROR(E32*$AA$1, " ")</f>
        <v xml:space="preserve"> </v>
      </c>
      <c r="F33" s="54" t="str">
        <f t="shared" ref="F33" si="41">IFERROR(F32*$AA$1, " ")</f>
        <v xml:space="preserve"> </v>
      </c>
      <c r="G33" s="326">
        <f t="shared" si="2"/>
        <v>0</v>
      </c>
    </row>
    <row r="34" spans="1:25" x14ac:dyDescent="0.25">
      <c r="A34" s="464"/>
      <c r="B34" s="345" t="s">
        <v>523</v>
      </c>
      <c r="C34" s="54" t="str">
        <f>IFERROR(C32*$AA$2, " ")</f>
        <v xml:space="preserve"> </v>
      </c>
      <c r="D34" s="54" t="str">
        <f t="shared" ref="D34:F34" si="42">IFERROR(D32*$AA$2, " ")</f>
        <v xml:space="preserve"> </v>
      </c>
      <c r="E34" s="54" t="str">
        <f t="shared" si="42"/>
        <v xml:space="preserve"> </v>
      </c>
      <c r="F34" s="54" t="str">
        <f t="shared" si="42"/>
        <v xml:space="preserve"> </v>
      </c>
      <c r="G34" s="326">
        <f t="shared" si="2"/>
        <v>0</v>
      </c>
    </row>
    <row r="35" spans="1:25" ht="15.75" thickBot="1" x14ac:dyDescent="0.3">
      <c r="A35" s="466"/>
      <c r="B35" s="346" t="s">
        <v>524</v>
      </c>
      <c r="C35" s="54">
        <f>IFERROR(SUM(C32:C34)," ")</f>
        <v>0</v>
      </c>
      <c r="D35" s="54">
        <f t="shared" ref="D35" si="43">IFERROR(SUM(D32:D34)," ")</f>
        <v>0</v>
      </c>
      <c r="E35" s="54">
        <f t="shared" ref="E35" si="44">IFERROR(SUM(E32:E34)," ")</f>
        <v>0</v>
      </c>
      <c r="F35" s="54">
        <f t="shared" ref="F35" si="45">IFERROR(SUM(F32:F34)," ")</f>
        <v>0</v>
      </c>
      <c r="G35" s="326">
        <f t="shared" si="2"/>
        <v>0</v>
      </c>
    </row>
    <row r="36" spans="1:25" x14ac:dyDescent="0.25">
      <c r="A36" s="463" t="s">
        <v>518</v>
      </c>
      <c r="B36" s="347" t="s">
        <v>122</v>
      </c>
      <c r="C36" s="54" t="str">
        <f>IFERROR(VLOOKUP(B36,'Researcher Salary Scales. '!$A$7:$V$59,10,FALSE)/($K$1)*D78*C78,(" "))</f>
        <v xml:space="preserve"> </v>
      </c>
      <c r="D36" s="54" t="str" cm="1">
        <f t="array" ref="D36">IFERROR(INDEX('Researcher Salary Scales. '!$A$7:$V$59,MATCH(B36,'Researcher Salary Scales. '!$A$7:$A$59,0)+1,14)/($K$1)*E78*C78,(" "))</f>
        <v xml:space="preserve"> </v>
      </c>
      <c r="E36" s="54" t="str" cm="1">
        <f t="array" ref="E36">IFERROR(INDEX('Researcher Salary Scales. '!$A$7:$V$59,MATCH(B36,'Researcher Salary Scales. '!$A$7:$A$59,0)+2,18)/($K$1)*F78*C78,(" "))</f>
        <v xml:space="preserve"> </v>
      </c>
      <c r="F36" s="54" t="str" cm="1">
        <f t="array" ref="F36">IFERROR(INDEX('Researcher Salary Scales. '!$A$7:$V$59,MATCH(B36,'Researcher Salary Scales. '!$A$7:$A$56,0)+3,22)/($K$1)*G78*C78,(" "))</f>
        <v xml:space="preserve"> </v>
      </c>
      <c r="G36" s="326">
        <f t="shared" si="2"/>
        <v>0</v>
      </c>
    </row>
    <row r="37" spans="1:25" x14ac:dyDescent="0.25">
      <c r="A37" s="464"/>
      <c r="B37" s="345" t="s">
        <v>522</v>
      </c>
      <c r="C37" s="348" t="str">
        <f>IFERROR(C36*$AA$1, " ")</f>
        <v xml:space="preserve"> </v>
      </c>
      <c r="D37" s="54" t="str">
        <f t="shared" ref="D37" si="46">IFERROR(D36*$AA$1, " ")</f>
        <v xml:space="preserve"> </v>
      </c>
      <c r="E37" s="54" t="str">
        <f t="shared" ref="E37" si="47">IFERROR(E36*$AA$1, " ")</f>
        <v xml:space="preserve"> </v>
      </c>
      <c r="F37" s="54" t="str">
        <f t="shared" ref="F37" si="48">IFERROR(F36*$AA$1, " ")</f>
        <v xml:space="preserve"> </v>
      </c>
      <c r="G37" s="326">
        <f t="shared" si="2"/>
        <v>0</v>
      </c>
    </row>
    <row r="38" spans="1:25" x14ac:dyDescent="0.25">
      <c r="A38" s="464"/>
      <c r="B38" s="345" t="s">
        <v>523</v>
      </c>
      <c r="C38" s="54" t="str">
        <f>IFERROR(C36*$AA$2, " ")</f>
        <v xml:space="preserve"> </v>
      </c>
      <c r="D38" s="54" t="str">
        <f t="shared" ref="D38:F38" si="49">IFERROR(D36*$AA$2, " ")</f>
        <v xml:space="preserve"> </v>
      </c>
      <c r="E38" s="54" t="str">
        <f t="shared" si="49"/>
        <v xml:space="preserve"> </v>
      </c>
      <c r="F38" s="54" t="str">
        <f t="shared" si="49"/>
        <v xml:space="preserve"> </v>
      </c>
      <c r="G38" s="326">
        <f t="shared" si="2"/>
        <v>0</v>
      </c>
    </row>
    <row r="39" spans="1:25" ht="15.75" thickBot="1" x14ac:dyDescent="0.3">
      <c r="A39" s="466"/>
      <c r="B39" s="346" t="s">
        <v>524</v>
      </c>
      <c r="C39" s="54">
        <f>IFERROR(SUM(C36:C38)," ")</f>
        <v>0</v>
      </c>
      <c r="D39" s="54">
        <f t="shared" ref="D39" si="50">IFERROR(SUM(D36:D38)," ")</f>
        <v>0</v>
      </c>
      <c r="E39" s="54">
        <f t="shared" ref="E39" si="51">IFERROR(SUM(E36:E38)," ")</f>
        <v>0</v>
      </c>
      <c r="F39" s="54">
        <f t="shared" ref="F39" si="52">IFERROR(SUM(F36:F38)," ")</f>
        <v>0</v>
      </c>
      <c r="G39" s="326">
        <f t="shared" si="2"/>
        <v>0</v>
      </c>
    </row>
    <row r="40" spans="1:25" x14ac:dyDescent="0.25">
      <c r="A40" s="463" t="s">
        <v>519</v>
      </c>
      <c r="B40" s="347" t="s">
        <v>122</v>
      </c>
      <c r="C40" s="54" t="str">
        <f>IFERROR(VLOOKUP(B40,'Researcher Salary Scales. '!$A$7:$V$59,10,FALSE)/($K$1)*D79*C79,(" "))</f>
        <v xml:space="preserve"> </v>
      </c>
      <c r="D40" s="54" t="str" cm="1">
        <f t="array" ref="D40">IFERROR(INDEX('Researcher Salary Scales. '!$A$7:$V$59,MATCH(B40,'Researcher Salary Scales. '!$A$7:$A$59,0)+1,14)/($K$1)*E79*C79,(" "))</f>
        <v xml:space="preserve"> </v>
      </c>
      <c r="E40" s="54" t="str" cm="1">
        <f t="array" ref="E40">IFERROR(INDEX('Researcher Salary Scales. '!$A$7:$V$59,MATCH(B40,'Researcher Salary Scales. '!$A$7:$A$59,0)+2,18)/($K$1)*F79*C79,(" "))</f>
        <v xml:space="preserve"> </v>
      </c>
      <c r="F40" s="54" t="str" cm="1">
        <f t="array" ref="F40">IFERROR(INDEX('Researcher Salary Scales. '!$A$7:$V$59,MATCH(B40,'Researcher Salary Scales. '!$A$7:$A$56,0)+3,22)/($K$1)*G79*C79,(" "))</f>
        <v xml:space="preserve"> </v>
      </c>
      <c r="G40" s="326">
        <f t="shared" si="2"/>
        <v>0</v>
      </c>
    </row>
    <row r="41" spans="1:25" x14ac:dyDescent="0.25">
      <c r="A41" s="464"/>
      <c r="B41" s="345" t="s">
        <v>522</v>
      </c>
      <c r="C41" s="54" t="str">
        <f>IFERROR(C40*$AA$1, " ")</f>
        <v xml:space="preserve"> </v>
      </c>
      <c r="D41" s="54" t="str">
        <f t="shared" ref="D41" si="53">IFERROR(D40*$AA$1, " ")</f>
        <v xml:space="preserve"> </v>
      </c>
      <c r="E41" s="54" t="str">
        <f t="shared" ref="E41" si="54">IFERROR(E40*$AA$1, " ")</f>
        <v xml:space="preserve"> </v>
      </c>
      <c r="F41" s="54" t="str">
        <f t="shared" ref="F41" si="55">IFERROR(F40*$AA$1, " ")</f>
        <v xml:space="preserve"> </v>
      </c>
      <c r="G41" s="326">
        <f t="shared" si="2"/>
        <v>0</v>
      </c>
    </row>
    <row r="42" spans="1:25" x14ac:dyDescent="0.25">
      <c r="A42" s="464"/>
      <c r="B42" s="345" t="s">
        <v>523</v>
      </c>
      <c r="C42" s="54" t="str">
        <f>IFERROR(C40*$AA$2, " ")</f>
        <v xml:space="preserve"> </v>
      </c>
      <c r="D42" s="54" t="str">
        <f t="shared" ref="D42:F42" si="56">IFERROR(D40*$AA$2, " ")</f>
        <v xml:space="preserve"> </v>
      </c>
      <c r="E42" s="54" t="str">
        <f t="shared" si="56"/>
        <v xml:space="preserve"> </v>
      </c>
      <c r="F42" s="54" t="str">
        <f t="shared" si="56"/>
        <v xml:space="preserve"> </v>
      </c>
      <c r="G42" s="326">
        <f t="shared" si="2"/>
        <v>0</v>
      </c>
    </row>
    <row r="43" spans="1:25" ht="15.75" thickBot="1" x14ac:dyDescent="0.3">
      <c r="A43" s="466"/>
      <c r="B43" s="346" t="s">
        <v>524</v>
      </c>
      <c r="C43" s="54">
        <f>IFERROR(SUM(C40:C42)," ")</f>
        <v>0</v>
      </c>
      <c r="D43" s="54">
        <f t="shared" ref="D43" si="57">IFERROR(SUM(D40:D42)," ")</f>
        <v>0</v>
      </c>
      <c r="E43" s="54">
        <f t="shared" ref="E43" si="58">IFERROR(SUM(E40:E42)," ")</f>
        <v>0</v>
      </c>
      <c r="F43" s="54">
        <f t="shared" ref="F43" si="59">IFERROR(SUM(F40:F42)," ")</f>
        <v>0</v>
      </c>
      <c r="G43" s="326">
        <f t="shared" si="2"/>
        <v>0</v>
      </c>
    </row>
    <row r="44" spans="1:25" x14ac:dyDescent="0.25">
      <c r="A44" s="463" t="s">
        <v>520</v>
      </c>
      <c r="B44" s="347" t="s">
        <v>122</v>
      </c>
      <c r="C44" s="54" t="str">
        <f>IFERROR(VLOOKUP(B44,'Researcher Salary Scales. '!$A$7:$V$59,10,FALSE)/($K$1)*D80*C80,(" "))</f>
        <v xml:space="preserve"> </v>
      </c>
      <c r="D44" s="54" t="str" cm="1">
        <f t="array" ref="D44">IFERROR(INDEX('Researcher Salary Scales. '!$A$7:$V$59,MATCH(B44,'Researcher Salary Scales. '!$A$7:$A$59,0)+1,14)/($K$1)*E80*C80,(" "))</f>
        <v xml:space="preserve"> </v>
      </c>
      <c r="E44" s="54" t="str" cm="1">
        <f t="array" ref="E44">IFERROR(INDEX('Researcher Salary Scales. '!$A$7:$V$59,MATCH(B44,'Researcher Salary Scales. '!$A$7:$A$59,0)+2,18)/($K$1)*F80*C80,(" "))</f>
        <v xml:space="preserve"> </v>
      </c>
      <c r="F44" s="54" t="str" cm="1">
        <f t="array" ref="F44">IFERROR(INDEX('Researcher Salary Scales. '!$A$7:$V$59,MATCH(B44,'Researcher Salary Scales. '!$A$7:$A$56,0)+3,22)/($K$1)*G80*C80,(" "))</f>
        <v xml:space="preserve"> </v>
      </c>
      <c r="G44" s="326">
        <f t="shared" si="2"/>
        <v>0</v>
      </c>
      <c r="L44" s="300" t="s">
        <v>470</v>
      </c>
      <c r="M44" s="298"/>
      <c r="O44" s="300" t="s">
        <v>473</v>
      </c>
      <c r="P44" s="298"/>
      <c r="R44" s="300" t="s">
        <v>474</v>
      </c>
      <c r="S44" s="298"/>
      <c r="U44" s="300" t="s">
        <v>475</v>
      </c>
      <c r="V44" s="298"/>
      <c r="X44" s="300" t="s">
        <v>476</v>
      </c>
      <c r="Y44" s="298"/>
    </row>
    <row r="45" spans="1:25" x14ac:dyDescent="0.25">
      <c r="A45" s="464"/>
      <c r="B45" s="345" t="s">
        <v>522</v>
      </c>
      <c r="C45" s="54" t="str">
        <f>IFERROR(C44*$AA$1, " ")</f>
        <v xml:space="preserve"> </v>
      </c>
      <c r="D45" s="54" t="str">
        <f t="shared" ref="D45" si="60">IFERROR(D44*$AA$1, " ")</f>
        <v xml:space="preserve"> </v>
      </c>
      <c r="E45" s="54" t="str">
        <f t="shared" ref="E45" si="61">IFERROR(E44*$AA$1, " ")</f>
        <v xml:space="preserve"> </v>
      </c>
      <c r="F45" s="54" t="str">
        <f t="shared" ref="F45" si="62">IFERROR(F44*$AA$1, " ")</f>
        <v xml:space="preserve"> </v>
      </c>
      <c r="G45" s="326">
        <f t="shared" si="2"/>
        <v>0</v>
      </c>
      <c r="L45" s="300"/>
      <c r="M45" s="298"/>
      <c r="O45" s="300"/>
      <c r="P45" s="298"/>
      <c r="R45" s="300"/>
      <c r="S45" s="298"/>
      <c r="U45" s="300"/>
      <c r="V45" s="298"/>
      <c r="X45" s="300"/>
      <c r="Y45" s="298"/>
    </row>
    <row r="46" spans="1:25" x14ac:dyDescent="0.25">
      <c r="A46" s="464"/>
      <c r="B46" s="345" t="s">
        <v>523</v>
      </c>
      <c r="C46" s="54" t="str">
        <f>IFERROR(C44*$AA$2, " ")</f>
        <v xml:space="preserve"> </v>
      </c>
      <c r="D46" s="54" t="str">
        <f t="shared" ref="D46:F46" si="63">IFERROR(D44*$AA$2, " ")</f>
        <v xml:space="preserve"> </v>
      </c>
      <c r="E46" s="54" t="str">
        <f t="shared" si="63"/>
        <v xml:space="preserve"> </v>
      </c>
      <c r="F46" s="54" t="str">
        <f t="shared" si="63"/>
        <v xml:space="preserve"> </v>
      </c>
      <c r="G46" s="326">
        <f t="shared" si="2"/>
        <v>0</v>
      </c>
      <c r="L46" s="300"/>
      <c r="M46" s="298"/>
      <c r="O46" s="300"/>
      <c r="P46" s="298"/>
      <c r="R46" s="300"/>
      <c r="S46" s="298"/>
      <c r="U46" s="300"/>
      <c r="V46" s="298"/>
      <c r="X46" s="300"/>
      <c r="Y46" s="298"/>
    </row>
    <row r="47" spans="1:25" ht="15.75" thickBot="1" x14ac:dyDescent="0.3">
      <c r="A47" s="465"/>
      <c r="B47" s="388" t="s">
        <v>524</v>
      </c>
      <c r="C47" s="90">
        <f>IFERROR(SUM(C44:C46)," ")</f>
        <v>0</v>
      </c>
      <c r="D47" s="90">
        <f t="shared" ref="D47" si="64">IFERROR(SUM(D44:D46)," ")</f>
        <v>0</v>
      </c>
      <c r="E47" s="90">
        <f t="shared" ref="E47" si="65">IFERROR(SUM(E44:E46)," ")</f>
        <v>0</v>
      </c>
      <c r="F47" s="90">
        <f t="shared" ref="F47" si="66">IFERROR(SUM(F44:F46)," ")</f>
        <v>0</v>
      </c>
      <c r="G47" s="389">
        <f t="shared" si="2"/>
        <v>0</v>
      </c>
      <c r="L47" s="300"/>
      <c r="M47" s="298"/>
      <c r="O47" s="300"/>
      <c r="P47" s="298"/>
      <c r="R47" s="300"/>
      <c r="S47" s="298"/>
      <c r="U47" s="300"/>
      <c r="V47" s="298"/>
      <c r="X47" s="300"/>
      <c r="Y47" s="298"/>
    </row>
    <row r="48" spans="1:25" x14ac:dyDescent="0.25">
      <c r="A48" s="387"/>
      <c r="B48" s="350" t="s">
        <v>555</v>
      </c>
      <c r="C48" s="327">
        <f>C11+C15+C19+C23+C27+C31+C35+C39+C43+C47</f>
        <v>0</v>
      </c>
      <c r="D48" s="327">
        <f>D11+D15+D19+D23+D27+D31+D35+D39+D43+D47</f>
        <v>0</v>
      </c>
      <c r="E48" s="327">
        <f>E11+E15+E19+E23+E27+E31+E35+E39+E43+E47</f>
        <v>0</v>
      </c>
      <c r="F48" s="327">
        <f>F11+F15+F19+F23+F27+F31+F35+F39+F43+F47</f>
        <v>0</v>
      </c>
      <c r="G48" s="327">
        <f>G11+G15+G19+G23+G27+G31+G35+G39+G43+G47</f>
        <v>0</v>
      </c>
      <c r="L48" s="300"/>
      <c r="M48" s="298"/>
      <c r="O48" s="300"/>
      <c r="P48" s="298"/>
      <c r="R48" s="300"/>
      <c r="S48" s="298"/>
      <c r="U48" s="300"/>
      <c r="V48" s="298"/>
      <c r="X48" s="300"/>
      <c r="Y48" s="298"/>
    </row>
    <row r="49" spans="1:25" x14ac:dyDescent="0.25">
      <c r="A49" s="60" t="s">
        <v>376</v>
      </c>
      <c r="B49" s="447" t="s">
        <v>377</v>
      </c>
      <c r="C49" s="323" t="str">
        <f>IFERROR(VLOOKUP(B49,'Researcher Salary Scales. '!A8:V60,10,FALSE)/(#REF!)*D81*#REF!,(" "))</f>
        <v xml:space="preserve"> </v>
      </c>
      <c r="D49" s="324"/>
      <c r="E49" s="324"/>
      <c r="F49" s="324"/>
      <c r="G49" s="325"/>
      <c r="L49" s="296" t="s">
        <v>368</v>
      </c>
      <c r="M49" s="299" t="s">
        <v>472</v>
      </c>
      <c r="N49" s="294"/>
      <c r="O49" s="296" t="s">
        <v>368</v>
      </c>
      <c r="P49" s="299" t="s">
        <v>472</v>
      </c>
      <c r="Q49" s="294"/>
      <c r="R49" s="296" t="s">
        <v>368</v>
      </c>
      <c r="S49" s="299" t="s">
        <v>472</v>
      </c>
      <c r="T49" s="294"/>
      <c r="U49" s="296" t="s">
        <v>368</v>
      </c>
      <c r="V49" s="299" t="s">
        <v>472</v>
      </c>
      <c r="W49" s="294"/>
      <c r="X49" s="296" t="s">
        <v>368</v>
      </c>
      <c r="Y49" s="299" t="s">
        <v>472</v>
      </c>
    </row>
    <row r="50" spans="1:25" x14ac:dyDescent="0.25">
      <c r="A50" s="55" t="s">
        <v>223</v>
      </c>
      <c r="B50" s="169" t="s">
        <v>369</v>
      </c>
      <c r="C50" s="444" t="str">
        <f>IFERROR(VLOOKUP($B50,'Student Stipend - ILP'!$A$5:$F$8,3,FALSE)/($K$1)*D81,(""))</f>
        <v/>
      </c>
      <c r="D50" s="444" t="str">
        <f>IFERROR(VLOOKUP($B50,'Student Stipend - ILP'!$A$5:$F$8,3,FALSE)/($K$1)*E81,(""))</f>
        <v/>
      </c>
      <c r="E50" s="444" t="str">
        <f>IFERROR(VLOOKUP($B50,'Student Stipend - ILP'!$A$5:$F$8,3,FALSE)/($K$1)*F81,(""))</f>
        <v/>
      </c>
      <c r="F50" s="444" t="str">
        <f>IFERROR(VLOOKUP($B50,'Student Stipend - ILP'!$A$5:$F$8,3,FALSE)/($K$1)*G81,(""))</f>
        <v/>
      </c>
      <c r="G50" s="326">
        <f t="shared" si="2"/>
        <v>0</v>
      </c>
      <c r="L50" s="297">
        <f>IF(B50=$L$49,C50,0)</f>
        <v>0</v>
      </c>
      <c r="M50" s="297">
        <f>IF(B50=$M$49,C50,0)</f>
        <v>0</v>
      </c>
      <c r="N50" s="294"/>
      <c r="O50" s="297">
        <f>IF(B50=$L$49,D50,0)</f>
        <v>0</v>
      </c>
      <c r="P50" s="297">
        <f>IF(E50=$M$49,F50,0)</f>
        <v>0</v>
      </c>
      <c r="Q50" s="294"/>
      <c r="R50" s="297">
        <f>IF(B50=$L$49,E50,0)</f>
        <v>0</v>
      </c>
      <c r="S50" s="297">
        <f>IF(H50=$M$49,I50,0)</f>
        <v>0</v>
      </c>
      <c r="T50" s="294"/>
      <c r="U50" s="297">
        <f>IF(B50=$L$49,F50,0)</f>
        <v>0</v>
      </c>
      <c r="V50" s="297">
        <f>IF(K50=$M$49,L50,0)</f>
        <v>0</v>
      </c>
      <c r="W50" s="294"/>
      <c r="X50" s="297">
        <f>IF(B50=$L$49,G50,0)</f>
        <v>0</v>
      </c>
      <c r="Y50" s="297">
        <f>IF(N50=$M$49,O50,0)</f>
        <v>0</v>
      </c>
    </row>
    <row r="51" spans="1:25" x14ac:dyDescent="0.25">
      <c r="A51" s="55" t="s">
        <v>224</v>
      </c>
      <c r="B51" s="448" t="s">
        <v>587</v>
      </c>
      <c r="C51" s="444" t="str">
        <f>IFERROR(VLOOKUP($B51,'Student Stipend - ILP'!$A$5:$F$8,3,FALSE)/($K$1)*D81,(""))</f>
        <v/>
      </c>
      <c r="D51" s="444" t="str">
        <f>IFERROR(VLOOKUP($B51,'Student Stipend - ILP'!$A$5:$F$8,3,FALSE)/($K$1)*E81,(""))</f>
        <v/>
      </c>
      <c r="E51" s="444" t="str">
        <f>IFERROR(VLOOKUP($B51,'Student Stipend - ILP'!$A$5:$F$8,3,FALSE)/($K$1)*F81,(""))</f>
        <v/>
      </c>
      <c r="F51" s="444" t="str">
        <f>IFERROR(VLOOKUP($B51,'Student Stipend - ILP'!$A$5:$F$8,3,FALSE)/($K$1)*G81,(""))</f>
        <v/>
      </c>
      <c r="G51" s="326">
        <f t="shared" si="2"/>
        <v>0</v>
      </c>
      <c r="I51" t="s">
        <v>579</v>
      </c>
      <c r="L51" s="297"/>
      <c r="M51" s="297"/>
      <c r="N51" s="294"/>
      <c r="O51" s="297"/>
      <c r="P51" s="297"/>
      <c r="Q51" s="294"/>
      <c r="R51" s="297"/>
      <c r="S51" s="297"/>
      <c r="T51" s="294"/>
      <c r="U51" s="297"/>
      <c r="V51" s="297"/>
      <c r="W51" s="294"/>
      <c r="X51" s="297"/>
      <c r="Y51" s="297"/>
    </row>
    <row r="52" spans="1:25" x14ac:dyDescent="0.25">
      <c r="A52" s="55" t="s">
        <v>225</v>
      </c>
      <c r="B52" s="169" t="s">
        <v>369</v>
      </c>
      <c r="C52" s="444" t="str">
        <f>IFERROR(VLOOKUP($B52,'Student Stipend - ILP'!$A$5:$F$8,3,FALSE)/($K$1)*D82,(""))</f>
        <v/>
      </c>
      <c r="D52" s="444" t="str">
        <f>IFERROR(VLOOKUP($B52,'Student Stipend - ILP'!$A$5:$F$8,3,FALSE)/($K$1)*E82,(""))</f>
        <v/>
      </c>
      <c r="E52" s="444" t="str">
        <f>IFERROR(VLOOKUP($B52,'Student Stipend - ILP'!$A$5:$F$8,3,FALSE)/($K$1)*F82,(""))</f>
        <v/>
      </c>
      <c r="F52" s="444" t="str">
        <f>IFERROR(VLOOKUP($B52,'Student Stipend - ILP'!$A$5:$F$8,3,FALSE)/($K$1)*G82,(""))</f>
        <v/>
      </c>
      <c r="G52" s="326">
        <f t="shared" si="2"/>
        <v>0</v>
      </c>
      <c r="L52" s="297">
        <f>IF(B52=$L$49,C52,0)</f>
        <v>0</v>
      </c>
      <c r="M52" s="297">
        <f t="shared" ref="M52:M58" si="67">IF(B52=$M$49,C52,0)</f>
        <v>0</v>
      </c>
      <c r="N52" s="294"/>
      <c r="O52" s="297">
        <f t="shared" ref="O52:O58" si="68">IF(B52=$L$49,D52,0)</f>
        <v>0</v>
      </c>
      <c r="P52" s="297">
        <f t="shared" ref="P52" si="69">IF(E52=$M$49,F52,0)</f>
        <v>0</v>
      </c>
      <c r="Q52" s="294"/>
      <c r="R52" s="297">
        <f t="shared" ref="R52:R58" si="70">IF(B52=$L$49,E52,0)</f>
        <v>0</v>
      </c>
      <c r="S52" s="297">
        <f t="shared" ref="S52" si="71">IF(H52=$M$49,I52,0)</f>
        <v>0</v>
      </c>
      <c r="T52" s="294"/>
      <c r="U52" s="297">
        <f t="shared" ref="U52:U58" si="72">IF(B52=$L$49,F52,0)</f>
        <v>0</v>
      </c>
      <c r="V52" s="297">
        <f t="shared" ref="V52" si="73">IF(K52=$M$49,L52,0)</f>
        <v>0</v>
      </c>
      <c r="W52" s="294"/>
      <c r="X52" s="297">
        <f t="shared" ref="X52:X58" si="74">IF(B52=$L$49,G52,0)</f>
        <v>0</v>
      </c>
      <c r="Y52" s="297">
        <f t="shared" ref="Y52" si="75">IF(N52=$M$49,O52,0)</f>
        <v>0</v>
      </c>
    </row>
    <row r="53" spans="1:25" x14ac:dyDescent="0.25">
      <c r="A53" s="55" t="s">
        <v>226</v>
      </c>
      <c r="B53" s="448" t="s">
        <v>587</v>
      </c>
      <c r="C53" s="444" t="str">
        <f>IFERROR(VLOOKUP($B53,'Student Stipend - ILP'!$A$5:$F$8,3,FALSE)/($K$1)*D82,(""))</f>
        <v/>
      </c>
      <c r="D53" s="444" t="str">
        <f>IFERROR(VLOOKUP($B53,'Student Stipend - ILP'!$A$5:$F$8,3,FALSE)/($K$1)*E82,(""))</f>
        <v/>
      </c>
      <c r="E53" s="444" t="str">
        <f>IFERROR(VLOOKUP($B53,'Student Stipend - ILP'!$A$5:$F$8,3,FALSE)/($K$1)*F82,(""))</f>
        <v/>
      </c>
      <c r="F53" s="444" t="str">
        <f>IFERROR(VLOOKUP($B53,'Student Stipend - ILP'!$A$5:$F$8,3,FALSE)/($K$1)*G82,(""))</f>
        <v/>
      </c>
      <c r="G53" s="326">
        <f t="shared" ref="G53" si="76">SUM(C53:F53)</f>
        <v>0</v>
      </c>
      <c r="L53" s="297"/>
      <c r="M53" s="297"/>
      <c r="N53" s="294"/>
      <c r="O53" s="297"/>
      <c r="P53" s="297"/>
      <c r="Q53" s="294"/>
      <c r="R53" s="297"/>
      <c r="S53" s="297"/>
      <c r="T53" s="294"/>
      <c r="U53" s="297"/>
      <c r="V53" s="297"/>
      <c r="W53" s="294"/>
      <c r="X53" s="297"/>
      <c r="Y53" s="297"/>
    </row>
    <row r="54" spans="1:25" x14ac:dyDescent="0.25">
      <c r="A54" s="55" t="s">
        <v>227</v>
      </c>
      <c r="B54" s="169" t="s">
        <v>369</v>
      </c>
      <c r="C54" s="444" t="str">
        <f>IFERROR(VLOOKUP($B54,'Student Stipend - ILP'!$A$5:$F$8,3,FALSE)/($K$1)*D83,(""))</f>
        <v/>
      </c>
      <c r="D54" s="444" t="str">
        <f>IFERROR(VLOOKUP($B54,'Student Stipend - ILP'!$A$5:$F$8,3,FALSE)/($K$1)*E83,(""))</f>
        <v/>
      </c>
      <c r="E54" s="444" t="str">
        <f>IFERROR(VLOOKUP($B54,'Student Stipend - ILP'!$A$5:$F$8,3,FALSE)/($K$1)*F83,(""))</f>
        <v/>
      </c>
      <c r="F54" s="444" t="str">
        <f>IFERROR(VLOOKUP($B54,'Student Stipend - ILP'!$A$5:$F$8,3,FALSE)/($K$1)*G83,(""))</f>
        <v/>
      </c>
      <c r="G54" s="326">
        <f t="shared" si="2"/>
        <v>0</v>
      </c>
      <c r="L54" s="297">
        <f>IF(B54=$L$49,C54,0)</f>
        <v>0</v>
      </c>
      <c r="M54" s="297">
        <f t="shared" si="67"/>
        <v>0</v>
      </c>
      <c r="N54" s="294"/>
      <c r="O54" s="297">
        <f t="shared" si="68"/>
        <v>0</v>
      </c>
      <c r="P54" s="297">
        <f t="shared" ref="P54" si="77">IF(E54=$M$49,F54,0)</f>
        <v>0</v>
      </c>
      <c r="Q54" s="294"/>
      <c r="R54" s="297">
        <f t="shared" si="70"/>
        <v>0</v>
      </c>
      <c r="S54" s="297">
        <f t="shared" ref="S54" si="78">IF(H54=$M$49,I54,0)</f>
        <v>0</v>
      </c>
      <c r="T54" s="294"/>
      <c r="U54" s="297">
        <f t="shared" si="72"/>
        <v>0</v>
      </c>
      <c r="V54" s="297">
        <f t="shared" ref="V54" si="79">IF(K54=$M$49,L54,0)</f>
        <v>0</v>
      </c>
      <c r="W54" s="294"/>
      <c r="X54" s="297">
        <f t="shared" si="74"/>
        <v>0</v>
      </c>
      <c r="Y54" s="297">
        <f t="shared" ref="Y54" si="80">IF(N54=$M$49,O54,0)</f>
        <v>0</v>
      </c>
    </row>
    <row r="55" spans="1:25" x14ac:dyDescent="0.25">
      <c r="A55" s="55" t="s">
        <v>228</v>
      </c>
      <c r="B55" s="448" t="s">
        <v>587</v>
      </c>
      <c r="C55" s="444" t="str">
        <f>IFERROR(VLOOKUP($B55,'Student Stipend - ILP'!$A$5:$F$8,3,FALSE)/($K$1)*D83,(""))</f>
        <v/>
      </c>
      <c r="D55" s="444" t="str">
        <f>IFERROR(VLOOKUP($B55,'Student Stipend - ILP'!$A$5:$F$8,3,FALSE)/($K$1)*E83,(""))</f>
        <v/>
      </c>
      <c r="E55" s="444" t="str">
        <f>IFERROR(VLOOKUP($B55,'Student Stipend - ILP'!$A$5:$F$8,3,FALSE)/($K$1)*F83,(""))</f>
        <v/>
      </c>
      <c r="F55" s="444" t="str">
        <f>IFERROR(VLOOKUP($B55,'Student Stipend - ILP'!$A$5:$F$8,3,FALSE)/($K$1)*G83,(""))</f>
        <v/>
      </c>
      <c r="G55" s="326">
        <f t="shared" si="2"/>
        <v>0</v>
      </c>
      <c r="L55" s="297"/>
      <c r="M55" s="297"/>
      <c r="N55" s="294"/>
      <c r="O55" s="297"/>
      <c r="P55" s="297"/>
      <c r="Q55" s="294"/>
      <c r="R55" s="297"/>
      <c r="S55" s="297"/>
      <c r="T55" s="294"/>
      <c r="U55" s="297"/>
      <c r="V55" s="297"/>
      <c r="W55" s="294"/>
      <c r="X55" s="297"/>
      <c r="Y55" s="297"/>
    </row>
    <row r="56" spans="1:25" x14ac:dyDescent="0.25">
      <c r="A56" s="55" t="s">
        <v>229</v>
      </c>
      <c r="B56" s="169" t="s">
        <v>369</v>
      </c>
      <c r="C56" s="444" t="str">
        <f>IFERROR(VLOOKUP($B56,'Student Stipend - ILP'!$A$5:$F$8,3,FALSE)/($K$1)*D84,(""))</f>
        <v/>
      </c>
      <c r="D56" s="444" t="str">
        <f>IFERROR(VLOOKUP($B56,'Student Stipend - ILP'!$A$5:$F$8,3,FALSE)/($K$1)*E84,(""))</f>
        <v/>
      </c>
      <c r="E56" s="444" t="str">
        <f>IFERROR(VLOOKUP($B56,'Student Stipend - ILP'!$A$5:$F$8,3,FALSE)/($K$1)*F85,(""))</f>
        <v/>
      </c>
      <c r="F56" s="444" t="str">
        <f>IFERROR(VLOOKUP($B56,'Student Stipend - ILP'!$A$5:$F$8,3,FALSE)/($K$1)*G85,(""))</f>
        <v/>
      </c>
      <c r="G56" s="326">
        <f t="shared" si="2"/>
        <v>0</v>
      </c>
      <c r="L56" s="297">
        <f>IF(B56=$L$49,C56,0)</f>
        <v>0</v>
      </c>
      <c r="M56" s="297">
        <f t="shared" si="67"/>
        <v>0</v>
      </c>
      <c r="N56" s="294"/>
      <c r="O56" s="297">
        <f t="shared" si="68"/>
        <v>0</v>
      </c>
      <c r="P56" s="297">
        <f t="shared" ref="P56" si="81">IF(E56=$M$49,F56,0)</f>
        <v>0</v>
      </c>
      <c r="Q56" s="294"/>
      <c r="R56" s="297">
        <f t="shared" si="70"/>
        <v>0</v>
      </c>
      <c r="S56" s="297">
        <f t="shared" ref="S56" si="82">IF(H56=$M$49,I56,0)</f>
        <v>0</v>
      </c>
      <c r="T56" s="294"/>
      <c r="U56" s="297">
        <f t="shared" si="72"/>
        <v>0</v>
      </c>
      <c r="V56" s="297">
        <f t="shared" ref="V56" si="83">IF(K56=$M$49,L56,0)</f>
        <v>0</v>
      </c>
      <c r="W56" s="294"/>
      <c r="X56" s="297">
        <f t="shared" si="74"/>
        <v>0</v>
      </c>
      <c r="Y56" s="297">
        <f t="shared" ref="Y56" si="84">IF(N56=$M$49,O56,0)</f>
        <v>0</v>
      </c>
    </row>
    <row r="57" spans="1:25" x14ac:dyDescent="0.25">
      <c r="A57" s="55" t="s">
        <v>230</v>
      </c>
      <c r="B57" s="448" t="s">
        <v>587</v>
      </c>
      <c r="C57" s="444" t="str">
        <f>IFERROR(VLOOKUP($B57,'Student Stipend - ILP'!$A$5:$F$8,3,FALSE)/($K$1)*D84,(""))</f>
        <v/>
      </c>
      <c r="D57" s="444" t="str">
        <f>IFERROR(VLOOKUP($B57,'Student Stipend - ILP'!$A$5:$F$8,3,FALSE)/($K$1)*E84,(""))</f>
        <v/>
      </c>
      <c r="E57" s="444" t="str">
        <f>IFERROR(VLOOKUP($B57,'Student Stipend - ILP'!$A$5:$F$8,3,FALSE)/($K$1)*F84,(""))</f>
        <v/>
      </c>
      <c r="F57" s="444" t="str">
        <f>IFERROR(VLOOKUP($B57,'Student Stipend - ILP'!$A$5:$F$8,3,FALSE)/($K$1)*G84,(""))</f>
        <v/>
      </c>
      <c r="G57" s="326">
        <f t="shared" ref="G57" si="85">SUM(C57:F57)</f>
        <v>0</v>
      </c>
      <c r="L57" s="297"/>
      <c r="M57" s="297"/>
      <c r="N57" s="294"/>
      <c r="O57" s="297"/>
      <c r="P57" s="297"/>
      <c r="Q57" s="294"/>
      <c r="R57" s="297"/>
      <c r="S57" s="297"/>
      <c r="T57" s="294"/>
      <c r="U57" s="297"/>
      <c r="V57" s="297"/>
      <c r="W57" s="294"/>
      <c r="X57" s="297"/>
      <c r="Y57" s="297"/>
    </row>
    <row r="58" spans="1:25" x14ac:dyDescent="0.25">
      <c r="A58" s="55" t="s">
        <v>585</v>
      </c>
      <c r="B58" s="169" t="s">
        <v>369</v>
      </c>
      <c r="C58" s="444" t="str">
        <f>IFERROR(VLOOKUP($B58,'Student Stipend - ILP'!$A$5:$F$8,3,FALSE)/($K$1)*D85,(""))</f>
        <v/>
      </c>
      <c r="D58" s="444" t="str">
        <f>IFERROR(VLOOKUP($B58,'Student Stipend - ILP'!$A$5:$F$8,3,FALSE)/($K$1)*E85,(""))</f>
        <v/>
      </c>
      <c r="E58" s="444" t="str">
        <f>IFERROR(VLOOKUP($B58,'Student Stipend - ILP'!$A$5:$F$8,3,FALSE)/($K$1)*F85,(""))</f>
        <v/>
      </c>
      <c r="F58" s="444" t="str">
        <f>IFERROR(VLOOKUP($B58,'Student Stipend - ILP'!$A$5:$F$8,3,FALSE)/($K$1)*G85,(""))</f>
        <v/>
      </c>
      <c r="G58" s="326">
        <f t="shared" ref="G58" si="86">SUM(C58:F58)</f>
        <v>0</v>
      </c>
      <c r="L58" s="297">
        <f>IF(B58=$L$49,C58,0)</f>
        <v>0</v>
      </c>
      <c r="M58" s="297">
        <f t="shared" si="67"/>
        <v>0</v>
      </c>
      <c r="N58" s="294"/>
      <c r="O58" s="297">
        <f t="shared" si="68"/>
        <v>0</v>
      </c>
      <c r="P58" s="297">
        <f t="shared" ref="P58" si="87">IF(E58=$M$49,F58,0)</f>
        <v>0</v>
      </c>
      <c r="Q58" s="294"/>
      <c r="R58" s="297">
        <f t="shared" si="70"/>
        <v>0</v>
      </c>
      <c r="S58" s="297">
        <f t="shared" ref="S58" si="88">IF(H58=$M$49,I58,0)</f>
        <v>0</v>
      </c>
      <c r="T58" s="294"/>
      <c r="U58" s="297">
        <f t="shared" si="72"/>
        <v>0</v>
      </c>
      <c r="V58" s="297">
        <f t="shared" ref="V58" si="89">IF(K58=$M$49,L58,0)</f>
        <v>0</v>
      </c>
      <c r="W58" s="294"/>
      <c r="X58" s="297">
        <f t="shared" si="74"/>
        <v>0</v>
      </c>
      <c r="Y58" s="297">
        <f t="shared" ref="Y58" si="90">IF(N58=$M$49,O58,0)</f>
        <v>0</v>
      </c>
    </row>
    <row r="59" spans="1:25" ht="15.75" hidden="1" thickBot="1" x14ac:dyDescent="0.3">
      <c r="A59" s="289" t="s">
        <v>191</v>
      </c>
      <c r="B59" s="218"/>
      <c r="C59" s="390">
        <f>SUM(C50:C58)</f>
        <v>0</v>
      </c>
      <c r="D59" s="390">
        <f>SUM(D50:D58)</f>
        <v>0</v>
      </c>
      <c r="E59" s="390">
        <f>SUM(E50:E58)</f>
        <v>0</v>
      </c>
      <c r="F59" s="390">
        <f>SUM(F50:F58)</f>
        <v>0</v>
      </c>
      <c r="G59" s="390">
        <f>SUM(G50:G58)</f>
        <v>0</v>
      </c>
      <c r="L59" s="295">
        <f>SUM(L50:L58)</f>
        <v>0</v>
      </c>
      <c r="M59" s="295">
        <f>SUM(M50:M58)</f>
        <v>0</v>
      </c>
      <c r="N59" s="294"/>
      <c r="O59" s="295">
        <f>SUM(O50:O58)</f>
        <v>0</v>
      </c>
      <c r="P59" s="295">
        <f>SUM(P50:P58)</f>
        <v>0</v>
      </c>
      <c r="Q59" s="294"/>
      <c r="R59" s="295">
        <f>SUM(R50:R58)</f>
        <v>0</v>
      </c>
      <c r="S59" s="295">
        <f>SUM(S50:S58)</f>
        <v>0</v>
      </c>
      <c r="T59" s="294"/>
      <c r="U59" s="295">
        <f>SUM(U50:U58)</f>
        <v>0</v>
      </c>
      <c r="V59" s="295">
        <f>SUM(V50:V58)</f>
        <v>0</v>
      </c>
      <c r="W59" s="294"/>
      <c r="X59" s="295">
        <f>SUM(X50:X58)</f>
        <v>0</v>
      </c>
      <c r="Y59" s="295">
        <f>SUM(Y50:Y58)</f>
        <v>0</v>
      </c>
    </row>
    <row r="60" spans="1:25" x14ac:dyDescent="0.25">
      <c r="A60" s="55" t="s">
        <v>231</v>
      </c>
      <c r="B60" s="448" t="s">
        <v>587</v>
      </c>
      <c r="C60" s="444" t="str">
        <f>IFERROR(VLOOKUP($B60,'Student Stipend - ILP'!$A$5:$F$8,3,FALSE)/($K$1)*D85,(""))</f>
        <v/>
      </c>
      <c r="D60" s="444" t="str">
        <f>IFERROR(VLOOKUP($B60,'Student Stipend - ILP'!$A$5:$F$8,3,FALSE)/($K$1)*E85,(""))</f>
        <v/>
      </c>
      <c r="E60" s="444" t="str">
        <f>IFERROR(VLOOKUP($B60,'Student Stipend - ILP'!$A$5:$F$8,3,FALSE)/($K$1)*F85,(""))</f>
        <v/>
      </c>
      <c r="F60" s="444" t="str">
        <f>IFERROR(VLOOKUP($B60,'Student Stipend - ILP'!$A$5:$F$8,3,FALSE)/($K$1)*G85,(""))</f>
        <v/>
      </c>
      <c r="G60" s="326">
        <f t="shared" ref="G60:G61" si="91">SUM(C60:F60)</f>
        <v>0</v>
      </c>
      <c r="L60" s="443"/>
      <c r="M60" s="443"/>
      <c r="N60" s="294"/>
      <c r="O60" s="443"/>
      <c r="P60" s="443"/>
      <c r="Q60" s="294"/>
      <c r="R60" s="443"/>
      <c r="S60" s="443"/>
      <c r="T60" s="294"/>
      <c r="U60" s="443"/>
      <c r="V60" s="443"/>
      <c r="W60" s="294"/>
      <c r="X60" s="443"/>
      <c r="Y60" s="443"/>
    </row>
    <row r="61" spans="1:25" x14ac:dyDescent="0.25">
      <c r="A61" s="55"/>
      <c r="B61" s="350" t="s">
        <v>556</v>
      </c>
      <c r="C61" s="391">
        <f>SUM(C50,C52,C54,C56,C58)</f>
        <v>0</v>
      </c>
      <c r="D61" s="391">
        <f>SUM(D50,D52,D54,D56,D58)</f>
        <v>0</v>
      </c>
      <c r="E61" s="391">
        <f>SUM(E50,E52,E54,E56,E58)</f>
        <v>0</v>
      </c>
      <c r="F61" s="391">
        <f>SUM(F50,F52,F54,F56,F58)</f>
        <v>0</v>
      </c>
      <c r="G61" s="391">
        <f t="shared" si="91"/>
        <v>0</v>
      </c>
      <c r="L61" s="294"/>
      <c r="M61" s="294"/>
      <c r="N61" s="294"/>
      <c r="O61" s="294"/>
      <c r="P61" s="294"/>
      <c r="Q61" s="294"/>
      <c r="R61" s="294"/>
      <c r="S61" s="294"/>
      <c r="T61" s="294"/>
      <c r="U61" s="294"/>
      <c r="V61" s="294"/>
      <c r="W61" s="294"/>
      <c r="X61" s="294"/>
      <c r="Y61" s="294"/>
    </row>
    <row r="62" spans="1:25" hidden="1" x14ac:dyDescent="0.25">
      <c r="A62" s="1" t="s">
        <v>528</v>
      </c>
      <c r="B62" s="340"/>
      <c r="C62" s="391">
        <f>SUM(C8,C12,C16,C20,C24,C28,C32,C36,C40,C44,C50:C58)</f>
        <v>0</v>
      </c>
      <c r="D62" s="391">
        <f>SUM(D8,D12,D16,D20,D24,D28,D32,D36,D40,D44,D50:D58)</f>
        <v>0</v>
      </c>
      <c r="E62" s="391">
        <f>SUM(E8,E12,E16,E20,E24,E28,E32,E36,E40,E44,E50:E58)</f>
        <v>0</v>
      </c>
      <c r="F62" s="391">
        <f>SUM(F8,F12,F16,F20,F24,F28,F32,F36,F40,F44,F50:F58)</f>
        <v>0</v>
      </c>
      <c r="G62" s="391">
        <f>SUM(G8,G12,G16,G20,G24,G28,G32,G36,G40,G44,G50:G58)</f>
        <v>0</v>
      </c>
      <c r="H62" s="353">
        <f>SUM(C62:G62)</f>
        <v>0</v>
      </c>
      <c r="L62" s="294"/>
      <c r="M62" s="294"/>
      <c r="N62" s="294"/>
      <c r="O62" s="294"/>
      <c r="P62" s="294"/>
      <c r="Q62" s="294"/>
      <c r="R62" s="294"/>
      <c r="S62" s="294"/>
      <c r="T62" s="294"/>
      <c r="U62" s="294"/>
      <c r="V62" s="294"/>
      <c r="W62" s="294"/>
      <c r="X62" s="294"/>
      <c r="Y62" s="294"/>
    </row>
    <row r="63" spans="1:25" hidden="1" x14ac:dyDescent="0.25">
      <c r="A63" s="1" t="s">
        <v>526</v>
      </c>
      <c r="B63" s="340"/>
      <c r="C63" s="391">
        <f t="shared" ref="C63:G64" si="92">SUM(C9,C13,C17,C21,C25,C29,C33,C37,C41,C45)</f>
        <v>0</v>
      </c>
      <c r="D63" s="391">
        <f t="shared" si="92"/>
        <v>0</v>
      </c>
      <c r="E63" s="391">
        <f t="shared" si="92"/>
        <v>0</v>
      </c>
      <c r="F63" s="391">
        <f t="shared" si="92"/>
        <v>0</v>
      </c>
      <c r="G63" s="391">
        <f t="shared" si="92"/>
        <v>0</v>
      </c>
      <c r="H63" s="353">
        <f t="shared" ref="H63:H64" si="93">SUM(C63:G63)</f>
        <v>0</v>
      </c>
      <c r="L63" s="294"/>
      <c r="M63" s="294"/>
      <c r="N63" s="294"/>
      <c r="O63" s="294"/>
      <c r="P63" s="294"/>
      <c r="Q63" s="294"/>
      <c r="R63" s="294"/>
      <c r="S63" s="294"/>
      <c r="T63" s="294"/>
      <c r="U63" s="294"/>
      <c r="V63" s="294"/>
      <c r="W63" s="294"/>
      <c r="X63" s="294"/>
      <c r="Y63" s="294"/>
    </row>
    <row r="64" spans="1:25" hidden="1" x14ac:dyDescent="0.25">
      <c r="A64" s="1" t="s">
        <v>446</v>
      </c>
      <c r="B64" s="340"/>
      <c r="C64" s="391">
        <f t="shared" si="92"/>
        <v>0</v>
      </c>
      <c r="D64" s="391">
        <f t="shared" si="92"/>
        <v>0</v>
      </c>
      <c r="E64" s="391">
        <f t="shared" si="92"/>
        <v>0</v>
      </c>
      <c r="F64" s="391">
        <f t="shared" si="92"/>
        <v>0</v>
      </c>
      <c r="G64" s="391">
        <f t="shared" si="92"/>
        <v>0</v>
      </c>
      <c r="H64" s="353">
        <f t="shared" si="93"/>
        <v>0</v>
      </c>
      <c r="L64" s="294"/>
      <c r="M64" s="294"/>
      <c r="N64" s="294"/>
      <c r="O64" s="294"/>
      <c r="P64" s="294"/>
      <c r="Q64" s="294"/>
      <c r="R64" s="294"/>
      <c r="S64" s="294"/>
      <c r="T64" s="294"/>
      <c r="U64" s="294"/>
      <c r="V64" s="294"/>
      <c r="W64" s="294"/>
      <c r="X64" s="294"/>
      <c r="Y64" s="294"/>
    </row>
    <row r="65" spans="1:25" x14ac:dyDescent="0.25">
      <c r="A65" s="1"/>
      <c r="B65" s="350" t="s">
        <v>557</v>
      </c>
      <c r="C65" s="391">
        <f>SUM(C51,C53,C55,C57,C60)</f>
        <v>0</v>
      </c>
      <c r="D65" s="391">
        <f>SUM(D51,D53,D55,D57,D60)</f>
        <v>0</v>
      </c>
      <c r="E65" s="391">
        <f>SUM(E51,E53,E55,E57,E60)</f>
        <v>0</v>
      </c>
      <c r="F65" s="391">
        <f>SUM(F51,F53,F55,F57,F60)</f>
        <v>0</v>
      </c>
      <c r="G65" s="391">
        <f t="shared" ref="G65" si="94">SUM(C65:F65)</f>
        <v>0</v>
      </c>
      <c r="L65" s="294"/>
      <c r="M65" s="294"/>
      <c r="N65" s="294"/>
      <c r="O65" s="294"/>
      <c r="P65" s="294"/>
      <c r="Q65" s="294"/>
      <c r="R65" s="294"/>
      <c r="S65" s="294"/>
      <c r="T65" s="294"/>
      <c r="U65" s="294"/>
      <c r="V65" s="294"/>
      <c r="W65" s="294"/>
      <c r="X65" s="294"/>
      <c r="Y65" s="294"/>
    </row>
    <row r="66" spans="1:25" x14ac:dyDescent="0.25">
      <c r="A66" s="106"/>
      <c r="B66" s="106"/>
      <c r="C66" s="106"/>
      <c r="D66" s="106"/>
      <c r="E66" s="106"/>
      <c r="F66" s="106"/>
      <c r="G66" s="106"/>
    </row>
    <row r="67" spans="1:25" ht="15.75" thickBot="1" x14ac:dyDescent="0.3">
      <c r="A67" s="107"/>
      <c r="B67" s="106"/>
      <c r="C67" s="106"/>
      <c r="D67" s="106"/>
      <c r="E67" s="106"/>
      <c r="F67" s="106"/>
      <c r="G67" s="106"/>
    </row>
    <row r="68" spans="1:25" ht="18.75" x14ac:dyDescent="0.3">
      <c r="B68" s="211" t="s">
        <v>259</v>
      </c>
      <c r="C68" s="74"/>
      <c r="D68" s="86" t="s">
        <v>109</v>
      </c>
      <c r="E68" s="86" t="s">
        <v>110</v>
      </c>
      <c r="F68" s="86" t="s">
        <v>111</v>
      </c>
      <c r="G68" s="86" t="s">
        <v>112</v>
      </c>
    </row>
    <row r="69" spans="1:25" x14ac:dyDescent="0.25">
      <c r="B69" s="87"/>
      <c r="D69" s="88" t="str">
        <f>C6</f>
        <v>2024/2025</v>
      </c>
      <c r="E69" s="88" t="s">
        <v>116</v>
      </c>
      <c r="F69" s="88" t="s">
        <v>117</v>
      </c>
      <c r="G69" s="88" t="s">
        <v>125</v>
      </c>
    </row>
    <row r="70" spans="1:25" ht="23.25" customHeight="1" thickBot="1" x14ac:dyDescent="0.3">
      <c r="B70" s="60" t="s">
        <v>258</v>
      </c>
      <c r="C70" s="1" t="s">
        <v>250</v>
      </c>
      <c r="D70" s="329" t="s">
        <v>192</v>
      </c>
      <c r="E70" s="329" t="s">
        <v>192</v>
      </c>
      <c r="F70" s="329" t="s">
        <v>192</v>
      </c>
      <c r="G70" s="329" t="s">
        <v>192</v>
      </c>
    </row>
    <row r="71" spans="1:25" x14ac:dyDescent="0.25">
      <c r="B71" s="328" t="str">
        <f>A8</f>
        <v xml:space="preserve">Researcher 1 </v>
      </c>
      <c r="C71" s="332">
        <v>1</v>
      </c>
      <c r="D71" s="333">
        <v>12</v>
      </c>
      <c r="E71" s="333">
        <v>12</v>
      </c>
      <c r="F71" s="333">
        <v>12</v>
      </c>
      <c r="G71" s="333">
        <v>12</v>
      </c>
    </row>
    <row r="72" spans="1:25" x14ac:dyDescent="0.25">
      <c r="B72" s="92" t="str">
        <f>A12</f>
        <v>Researcher 2</v>
      </c>
      <c r="C72" s="167">
        <v>1</v>
      </c>
      <c r="D72" s="330">
        <v>12</v>
      </c>
      <c r="E72" s="330">
        <v>12</v>
      </c>
      <c r="F72" s="330">
        <v>12</v>
      </c>
      <c r="G72" s="330">
        <v>12</v>
      </c>
    </row>
    <row r="73" spans="1:25" x14ac:dyDescent="0.25">
      <c r="B73" s="92" t="str">
        <f>A16</f>
        <v>Researcher 3</v>
      </c>
      <c r="C73" s="167">
        <v>1</v>
      </c>
      <c r="D73" s="330">
        <v>12</v>
      </c>
      <c r="E73" s="330">
        <v>12</v>
      </c>
      <c r="F73" s="330">
        <v>12</v>
      </c>
      <c r="G73" s="330">
        <v>12</v>
      </c>
    </row>
    <row r="74" spans="1:25" x14ac:dyDescent="0.25">
      <c r="B74" s="92" t="str">
        <f>A20</f>
        <v>Researcher 4</v>
      </c>
      <c r="C74" s="167">
        <v>1</v>
      </c>
      <c r="D74" s="330">
        <v>12</v>
      </c>
      <c r="E74" s="330">
        <v>12</v>
      </c>
      <c r="F74" s="330">
        <v>12</v>
      </c>
      <c r="G74" s="330">
        <v>12</v>
      </c>
    </row>
    <row r="75" spans="1:25" x14ac:dyDescent="0.25">
      <c r="B75" s="92" t="str">
        <f>A24</f>
        <v xml:space="preserve">Researcher 5 </v>
      </c>
      <c r="C75" s="167">
        <v>1</v>
      </c>
      <c r="D75" s="330">
        <v>12</v>
      </c>
      <c r="E75" s="330">
        <v>12</v>
      </c>
      <c r="F75" s="330">
        <v>12</v>
      </c>
      <c r="G75" s="330">
        <v>12</v>
      </c>
    </row>
    <row r="76" spans="1:25" x14ac:dyDescent="0.25">
      <c r="B76" s="92" t="str">
        <f>A28</f>
        <v>Researcher 6</v>
      </c>
      <c r="C76" s="167">
        <v>1</v>
      </c>
      <c r="D76" s="330">
        <v>12</v>
      </c>
      <c r="E76" s="330">
        <v>12</v>
      </c>
      <c r="F76" s="330">
        <v>12</v>
      </c>
      <c r="G76" s="330">
        <v>12</v>
      </c>
    </row>
    <row r="77" spans="1:25" x14ac:dyDescent="0.25">
      <c r="B77" s="92" t="str">
        <f>A32</f>
        <v>Researcher 7</v>
      </c>
      <c r="C77" s="167">
        <v>1</v>
      </c>
      <c r="D77" s="330">
        <v>12</v>
      </c>
      <c r="E77" s="330">
        <v>12</v>
      </c>
      <c r="F77" s="330">
        <v>12</v>
      </c>
      <c r="G77" s="330">
        <v>12</v>
      </c>
      <c r="I77" s="446"/>
    </row>
    <row r="78" spans="1:25" x14ac:dyDescent="0.25">
      <c r="B78" s="92" t="str">
        <f>A36</f>
        <v>Researcher 8</v>
      </c>
      <c r="C78" s="167">
        <v>1</v>
      </c>
      <c r="D78" s="330">
        <v>12</v>
      </c>
      <c r="E78" s="330">
        <v>12</v>
      </c>
      <c r="F78" s="330">
        <v>12</v>
      </c>
      <c r="G78" s="330">
        <v>12</v>
      </c>
    </row>
    <row r="79" spans="1:25" x14ac:dyDescent="0.25">
      <c r="B79" s="92" t="str">
        <f>A40</f>
        <v>Researcher 9</v>
      </c>
      <c r="C79" s="167">
        <v>1</v>
      </c>
      <c r="D79" s="330">
        <v>12</v>
      </c>
      <c r="E79" s="330">
        <v>12</v>
      </c>
      <c r="F79" s="330">
        <v>12</v>
      </c>
      <c r="G79" s="330">
        <v>12</v>
      </c>
    </row>
    <row r="80" spans="1:25" ht="15.75" thickBot="1" x14ac:dyDescent="0.3">
      <c r="B80" s="165" t="str">
        <f>A44</f>
        <v>Researcher 10</v>
      </c>
      <c r="C80" s="336">
        <v>1</v>
      </c>
      <c r="D80" s="337">
        <v>12</v>
      </c>
      <c r="E80" s="337">
        <v>12</v>
      </c>
      <c r="F80" s="337">
        <v>12</v>
      </c>
      <c r="G80" s="337">
        <v>12</v>
      </c>
    </row>
    <row r="81" spans="2:8" x14ac:dyDescent="0.25">
      <c r="B81" s="328" t="s">
        <v>244</v>
      </c>
      <c r="C81" s="338"/>
      <c r="D81" s="333">
        <v>12</v>
      </c>
      <c r="E81" s="333">
        <v>12</v>
      </c>
      <c r="F81" s="333">
        <v>12</v>
      </c>
      <c r="G81" s="333">
        <v>12</v>
      </c>
    </row>
    <row r="82" spans="2:8" x14ac:dyDescent="0.25">
      <c r="B82" s="92" t="s">
        <v>245</v>
      </c>
      <c r="C82" s="331"/>
      <c r="D82" s="330">
        <v>12</v>
      </c>
      <c r="E82" s="330">
        <v>12</v>
      </c>
      <c r="F82" s="330">
        <v>12</v>
      </c>
      <c r="G82" s="330">
        <v>12</v>
      </c>
    </row>
    <row r="83" spans="2:8" x14ac:dyDescent="0.25">
      <c r="B83" s="92" t="s">
        <v>246</v>
      </c>
      <c r="C83" s="331"/>
      <c r="D83" s="330">
        <v>12</v>
      </c>
      <c r="E83" s="330">
        <v>12</v>
      </c>
      <c r="F83" s="330">
        <v>12</v>
      </c>
      <c r="G83" s="330">
        <v>12</v>
      </c>
    </row>
    <row r="84" spans="2:8" x14ac:dyDescent="0.25">
      <c r="B84" s="92" t="s">
        <v>247</v>
      </c>
      <c r="C84" s="331"/>
      <c r="D84" s="330">
        <v>12</v>
      </c>
      <c r="E84" s="330">
        <v>12</v>
      </c>
      <c r="F84" s="330">
        <v>12</v>
      </c>
      <c r="G84" s="330">
        <v>12</v>
      </c>
    </row>
    <row r="85" spans="2:8" ht="15.75" thickBot="1" x14ac:dyDescent="0.3">
      <c r="B85" s="166" t="s">
        <v>248</v>
      </c>
      <c r="C85" s="334"/>
      <c r="D85" s="335">
        <v>12</v>
      </c>
      <c r="E85" s="335">
        <v>12</v>
      </c>
      <c r="F85" s="335">
        <v>12</v>
      </c>
      <c r="G85" s="335">
        <v>12</v>
      </c>
    </row>
    <row r="86" spans="2:8" x14ac:dyDescent="0.25">
      <c r="B86" s="106"/>
      <c r="C86" s="106"/>
      <c r="D86" s="106"/>
      <c r="E86" s="106"/>
      <c r="F86" s="106"/>
      <c r="G86" s="106"/>
      <c r="H86" s="106"/>
    </row>
    <row r="87" spans="2:8" x14ac:dyDescent="0.25">
      <c r="B87" s="106"/>
      <c r="C87" s="106"/>
      <c r="D87" s="106"/>
      <c r="E87" s="106"/>
      <c r="F87" s="106"/>
      <c r="G87" s="106"/>
      <c r="H87" s="106"/>
    </row>
    <row r="88" spans="2:8" x14ac:dyDescent="0.25">
      <c r="B88" s="106"/>
      <c r="C88" s="106"/>
      <c r="D88" s="106"/>
      <c r="E88" s="106"/>
      <c r="F88" s="106"/>
      <c r="G88" s="106"/>
      <c r="H88" s="106"/>
    </row>
    <row r="89" spans="2:8" x14ac:dyDescent="0.25">
      <c r="B89" s="106"/>
      <c r="C89" s="106"/>
      <c r="D89" s="106"/>
      <c r="E89" s="106"/>
      <c r="F89" s="106"/>
      <c r="G89" s="106"/>
      <c r="H89" s="106"/>
    </row>
    <row r="90" spans="2:8" ht="30.75" customHeight="1" x14ac:dyDescent="0.25">
      <c r="B90" s="106"/>
      <c r="C90" s="106"/>
      <c r="D90" s="106"/>
      <c r="E90" s="106"/>
      <c r="F90" s="106"/>
      <c r="G90" s="106"/>
      <c r="H90" s="106"/>
    </row>
    <row r="91" spans="2:8" ht="39.75" customHeight="1" x14ac:dyDescent="0.25">
      <c r="B91" s="106"/>
      <c r="C91" s="106"/>
      <c r="D91" s="106"/>
      <c r="E91" s="106"/>
      <c r="F91" s="106"/>
      <c r="G91" s="106"/>
      <c r="H91" s="106"/>
    </row>
    <row r="92" spans="2:8" ht="38.25" customHeight="1" x14ac:dyDescent="0.25">
      <c r="B92" s="106"/>
      <c r="C92" s="106"/>
      <c r="D92" s="106"/>
      <c r="E92" s="106"/>
      <c r="F92" s="106"/>
      <c r="G92" s="106"/>
      <c r="H92" s="106"/>
    </row>
    <row r="93" spans="2:8" ht="0.75" customHeight="1" x14ac:dyDescent="0.25">
      <c r="B93" s="106"/>
      <c r="C93" s="106"/>
      <c r="D93" s="106"/>
      <c r="E93" s="106"/>
      <c r="F93" s="106"/>
      <c r="G93" s="106"/>
      <c r="H93" s="106"/>
    </row>
    <row r="94" spans="2:8" ht="3" customHeight="1" x14ac:dyDescent="0.25">
      <c r="B94" s="106"/>
      <c r="C94" s="106"/>
      <c r="D94" s="106"/>
      <c r="E94" s="106"/>
      <c r="F94" s="106"/>
      <c r="G94" s="106"/>
      <c r="H94" s="106"/>
    </row>
    <row r="95" spans="2:8" ht="1.5" customHeight="1" x14ac:dyDescent="0.25"/>
    <row r="98" spans="1:9" ht="15.75" hidden="1" thickBot="1" x14ac:dyDescent="0.3">
      <c r="A98" s="115"/>
    </row>
    <row r="99" spans="1:9" hidden="1" x14ac:dyDescent="0.25">
      <c r="A99" s="266" t="s">
        <v>460</v>
      </c>
      <c r="B99" s="293" t="s">
        <v>470</v>
      </c>
      <c r="C99" s="267"/>
      <c r="D99" s="267"/>
      <c r="E99" s="267"/>
      <c r="F99" s="267"/>
      <c r="G99" s="267"/>
      <c r="H99" s="267"/>
      <c r="I99" s="268"/>
    </row>
    <row r="100" spans="1:9" hidden="1" x14ac:dyDescent="0.25">
      <c r="A100" s="269"/>
      <c r="B100" s="270" t="s">
        <v>461</v>
      </c>
      <c r="C100" s="270" t="s">
        <v>3</v>
      </c>
      <c r="D100" s="270" t="s">
        <v>462</v>
      </c>
      <c r="E100" s="270" t="s">
        <v>463</v>
      </c>
      <c r="F100" s="270" t="s">
        <v>464</v>
      </c>
      <c r="G100" s="270" t="s">
        <v>465</v>
      </c>
      <c r="H100" s="292" t="s">
        <v>12</v>
      </c>
      <c r="I100" s="268"/>
    </row>
    <row r="101" spans="1:9" hidden="1" x14ac:dyDescent="0.25">
      <c r="A101" s="269" t="s">
        <v>471</v>
      </c>
      <c r="B101" s="270">
        <f>P94</f>
        <v>0</v>
      </c>
      <c r="C101" s="270"/>
      <c r="D101" s="270"/>
      <c r="E101" s="270"/>
      <c r="F101" s="276">
        <f>M59</f>
        <v>0</v>
      </c>
      <c r="G101" s="276">
        <f>L59</f>
        <v>0</v>
      </c>
      <c r="H101" s="278">
        <f>SUM(C101:G101)</f>
        <v>0</v>
      </c>
      <c r="I101" s="268"/>
    </row>
    <row r="102" spans="1:9" hidden="1" x14ac:dyDescent="0.25">
      <c r="A102" s="269" t="s">
        <v>441</v>
      </c>
      <c r="B102" s="290" t="str">
        <f>C44</f>
        <v xml:space="preserve"> </v>
      </c>
      <c r="C102" s="276" t="e">
        <f>B102/'Researcher Salary Scales. '!$K$2*'Researcher Salary Scales. '!$J$2</f>
        <v>#VALUE!</v>
      </c>
      <c r="D102" s="276" t="e">
        <f>B102/'Researcher Salary Scales. '!$K$2</f>
        <v>#VALUE!</v>
      </c>
      <c r="E102" s="276" t="e">
        <f>B102/'Researcher Salary Scales. '!$K$2*'Researcher Salary Scales. '!J3</f>
        <v>#VALUE!</v>
      </c>
      <c r="F102" s="270"/>
      <c r="G102" s="270"/>
      <c r="H102" s="278" t="e">
        <f>SUM(C102:G102)</f>
        <v>#VALUE!</v>
      </c>
      <c r="I102" s="268"/>
    </row>
    <row r="103" spans="1:9" hidden="1" x14ac:dyDescent="0.25">
      <c r="A103" s="275" t="s">
        <v>12</v>
      </c>
      <c r="B103" s="280">
        <f t="shared" ref="B103:G103" si="95">SUM(B101:B102)</f>
        <v>0</v>
      </c>
      <c r="C103" s="280" t="e">
        <f t="shared" si="95"/>
        <v>#VALUE!</v>
      </c>
      <c r="D103" s="280" t="e">
        <f t="shared" si="95"/>
        <v>#VALUE!</v>
      </c>
      <c r="E103" s="280" t="e">
        <f t="shared" si="95"/>
        <v>#VALUE!</v>
      </c>
      <c r="F103" s="280">
        <f t="shared" si="95"/>
        <v>0</v>
      </c>
      <c r="G103" s="280">
        <f t="shared" si="95"/>
        <v>0</v>
      </c>
      <c r="H103" s="280" t="e">
        <f>SUM(H101:H102)</f>
        <v>#VALUE!</v>
      </c>
      <c r="I103" s="268"/>
    </row>
    <row r="104" spans="1:9" ht="15.75" hidden="1" thickBot="1" x14ac:dyDescent="0.3">
      <c r="A104" s="268"/>
      <c r="B104" s="268"/>
      <c r="C104" s="268"/>
      <c r="D104" s="268"/>
      <c r="E104" s="268"/>
      <c r="F104" s="268"/>
      <c r="G104" s="268"/>
      <c r="H104" s="268"/>
      <c r="I104" s="268"/>
    </row>
    <row r="105" spans="1:9" hidden="1" x14ac:dyDescent="0.25">
      <c r="B105" s="293" t="s">
        <v>473</v>
      </c>
      <c r="C105" s="267"/>
      <c r="D105" s="267"/>
      <c r="E105" s="267"/>
      <c r="F105" s="267"/>
      <c r="G105" s="267"/>
      <c r="H105" s="267"/>
    </row>
    <row r="106" spans="1:9" hidden="1" x14ac:dyDescent="0.25">
      <c r="B106" s="270" t="s">
        <v>461</v>
      </c>
      <c r="C106" s="270" t="s">
        <v>3</v>
      </c>
      <c r="D106" s="270" t="s">
        <v>462</v>
      </c>
      <c r="E106" s="270" t="s">
        <v>463</v>
      </c>
      <c r="F106" s="270" t="s">
        <v>464</v>
      </c>
      <c r="G106" s="270" t="s">
        <v>465</v>
      </c>
      <c r="H106" s="292" t="s">
        <v>12</v>
      </c>
    </row>
    <row r="107" spans="1:9" hidden="1" x14ac:dyDescent="0.25">
      <c r="A107" s="269" t="s">
        <v>471</v>
      </c>
      <c r="B107" s="278">
        <f>P100</f>
        <v>0</v>
      </c>
      <c r="C107" s="278"/>
      <c r="D107" s="278"/>
      <c r="E107" s="278"/>
      <c r="F107" s="278">
        <f>P59</f>
        <v>0</v>
      </c>
      <c r="G107" s="278">
        <f>O59</f>
        <v>0</v>
      </c>
      <c r="H107" s="278">
        <f>SUM(C107:G107)</f>
        <v>0</v>
      </c>
    </row>
    <row r="108" spans="1:9" hidden="1" x14ac:dyDescent="0.25">
      <c r="A108" s="269" t="s">
        <v>441</v>
      </c>
      <c r="B108" s="278" t="str">
        <f>D44</f>
        <v xml:space="preserve"> </v>
      </c>
      <c r="C108" s="278" t="e">
        <f>B108/'Researcher Salary Scales. '!$K$2*'Researcher Salary Scales. '!$J$2</f>
        <v>#VALUE!</v>
      </c>
      <c r="D108" s="278" t="e">
        <f>B108/'Researcher Salary Scales. '!$K$2</f>
        <v>#VALUE!</v>
      </c>
      <c r="E108" s="278" t="e">
        <f>B108/'Researcher Salary Scales. '!$K$2*'Researcher Salary Scales. '!$J$3</f>
        <v>#VALUE!</v>
      </c>
      <c r="F108" s="278"/>
      <c r="G108" s="278"/>
      <c r="H108" s="278" t="e">
        <f>SUM(C108:G108)</f>
        <v>#VALUE!</v>
      </c>
    </row>
    <row r="109" spans="1:9" hidden="1" x14ac:dyDescent="0.25">
      <c r="A109" s="275" t="s">
        <v>12</v>
      </c>
      <c r="B109" s="280">
        <f t="shared" ref="B109" si="96">SUM(B107:B108)</f>
        <v>0</v>
      </c>
      <c r="C109" s="280" t="e">
        <f t="shared" ref="C109" si="97">SUM(C107:C108)</f>
        <v>#VALUE!</v>
      </c>
      <c r="D109" s="280" t="e">
        <f t="shared" ref="D109" si="98">SUM(D107:D108)</f>
        <v>#VALUE!</v>
      </c>
      <c r="E109" s="280" t="e">
        <f t="shared" ref="E109" si="99">SUM(E107:E108)</f>
        <v>#VALUE!</v>
      </c>
      <c r="F109" s="280">
        <f t="shared" ref="F109" si="100">SUM(F107:F108)</f>
        <v>0</v>
      </c>
      <c r="G109" s="280">
        <f t="shared" ref="G109" si="101">SUM(G107:G108)</f>
        <v>0</v>
      </c>
      <c r="H109" s="280" t="e">
        <f>SUM(H107:H108)</f>
        <v>#VALUE!</v>
      </c>
    </row>
    <row r="110" spans="1:9" ht="15.75" hidden="1" thickBot="1" x14ac:dyDescent="0.3"/>
    <row r="111" spans="1:9" hidden="1" x14ac:dyDescent="0.25">
      <c r="B111" s="293" t="s">
        <v>474</v>
      </c>
      <c r="C111" s="267"/>
      <c r="D111" s="267"/>
      <c r="E111" s="267"/>
      <c r="F111" s="267"/>
      <c r="G111" s="267"/>
      <c r="H111" s="267"/>
    </row>
    <row r="112" spans="1:9" hidden="1" x14ac:dyDescent="0.25">
      <c r="B112" s="270" t="s">
        <v>461</v>
      </c>
      <c r="C112" s="270" t="s">
        <v>3</v>
      </c>
      <c r="D112" s="270" t="s">
        <v>462</v>
      </c>
      <c r="E112" s="270" t="s">
        <v>463</v>
      </c>
      <c r="F112" s="270" t="s">
        <v>464</v>
      </c>
      <c r="G112" s="270" t="s">
        <v>465</v>
      </c>
      <c r="H112" s="292" t="s">
        <v>12</v>
      </c>
    </row>
    <row r="113" spans="1:8" hidden="1" x14ac:dyDescent="0.25">
      <c r="A113" s="269" t="s">
        <v>471</v>
      </c>
      <c r="B113" s="278">
        <f>P106</f>
        <v>0</v>
      </c>
      <c r="C113" s="278"/>
      <c r="D113" s="278"/>
      <c r="E113" s="278"/>
      <c r="F113" s="278">
        <f>S59</f>
        <v>0</v>
      </c>
      <c r="G113" s="278">
        <f>R59</f>
        <v>0</v>
      </c>
      <c r="H113" s="278">
        <f>SUM(C113:G113)</f>
        <v>0</v>
      </c>
    </row>
    <row r="114" spans="1:8" hidden="1" x14ac:dyDescent="0.25">
      <c r="A114" s="269" t="s">
        <v>441</v>
      </c>
      <c r="B114" s="278" t="str">
        <f>E44</f>
        <v xml:space="preserve"> </v>
      </c>
      <c r="C114" s="278" t="e">
        <f>B114/'Researcher Salary Scales. '!$K$2*'Researcher Salary Scales. '!$J$2</f>
        <v>#VALUE!</v>
      </c>
      <c r="D114" s="278" t="e">
        <f>B114/'Researcher Salary Scales. '!$K$2</f>
        <v>#VALUE!</v>
      </c>
      <c r="E114" s="278" t="e">
        <f>B114/'Researcher Salary Scales. '!$K$2*'Researcher Salary Scales. '!$J$3</f>
        <v>#VALUE!</v>
      </c>
      <c r="F114" s="278"/>
      <c r="G114" s="278"/>
      <c r="H114" s="278" t="e">
        <f>SUM(C114:G114)</f>
        <v>#VALUE!</v>
      </c>
    </row>
    <row r="115" spans="1:8" hidden="1" x14ac:dyDescent="0.25">
      <c r="A115" s="275" t="s">
        <v>12</v>
      </c>
      <c r="B115" s="280">
        <f t="shared" ref="B115" si="102">SUM(B113:B114)</f>
        <v>0</v>
      </c>
      <c r="C115" s="280" t="e">
        <f t="shared" ref="C115" si="103">SUM(C113:C114)</f>
        <v>#VALUE!</v>
      </c>
      <c r="D115" s="280" t="e">
        <f t="shared" ref="D115" si="104">SUM(D113:D114)</f>
        <v>#VALUE!</v>
      </c>
      <c r="E115" s="280" t="e">
        <f t="shared" ref="E115" si="105">SUM(E113:E114)</f>
        <v>#VALUE!</v>
      </c>
      <c r="F115" s="280">
        <f t="shared" ref="F115" si="106">SUM(F113:F114)</f>
        <v>0</v>
      </c>
      <c r="G115" s="280">
        <f t="shared" ref="G115" si="107">SUM(G113:G114)</f>
        <v>0</v>
      </c>
      <c r="H115" s="280" t="e">
        <f>SUM(H113:H114)</f>
        <v>#VALUE!</v>
      </c>
    </row>
    <row r="116" spans="1:8" ht="15.75" hidden="1" thickBot="1" x14ac:dyDescent="0.3"/>
    <row r="117" spans="1:8" hidden="1" x14ac:dyDescent="0.25">
      <c r="B117" s="293" t="s">
        <v>475</v>
      </c>
      <c r="C117" s="267"/>
      <c r="D117" s="267"/>
      <c r="E117" s="267"/>
      <c r="F117" s="267"/>
      <c r="G117" s="267"/>
      <c r="H117" s="267"/>
    </row>
    <row r="118" spans="1:8" hidden="1" x14ac:dyDescent="0.25">
      <c r="B118" s="270" t="s">
        <v>461</v>
      </c>
      <c r="C118" s="270" t="s">
        <v>3</v>
      </c>
      <c r="D118" s="270" t="s">
        <v>462</v>
      </c>
      <c r="E118" s="270" t="s">
        <v>463</v>
      </c>
      <c r="F118" s="270" t="s">
        <v>464</v>
      </c>
      <c r="G118" s="270" t="s">
        <v>465</v>
      </c>
      <c r="H118" s="292" t="s">
        <v>12</v>
      </c>
    </row>
    <row r="119" spans="1:8" hidden="1" x14ac:dyDescent="0.25">
      <c r="A119" s="269" t="s">
        <v>471</v>
      </c>
      <c r="B119" s="278" t="s">
        <v>191</v>
      </c>
      <c r="C119" s="278"/>
      <c r="D119" s="278"/>
      <c r="E119" s="278"/>
      <c r="F119" s="278">
        <f>V59</f>
        <v>0</v>
      </c>
      <c r="G119" s="278">
        <f>U59</f>
        <v>0</v>
      </c>
      <c r="H119" s="278">
        <f>SUM(C119:G119)</f>
        <v>0</v>
      </c>
    </row>
    <row r="120" spans="1:8" hidden="1" x14ac:dyDescent="0.25">
      <c r="A120" s="269" t="s">
        <v>441</v>
      </c>
      <c r="B120" s="278" t="str">
        <f>F44</f>
        <v xml:space="preserve"> </v>
      </c>
      <c r="C120" s="278" t="e">
        <f>B120/'Researcher Salary Scales. '!$K$2*'Researcher Salary Scales. '!$J$2</f>
        <v>#VALUE!</v>
      </c>
      <c r="D120" s="278" t="e">
        <f>B120/'Researcher Salary Scales. '!$K$2</f>
        <v>#VALUE!</v>
      </c>
      <c r="E120" s="278" t="e">
        <f>B120/'Researcher Salary Scales. '!$K$2*'Researcher Salary Scales. '!$J$3</f>
        <v>#VALUE!</v>
      </c>
      <c r="F120" s="278"/>
      <c r="G120" s="278"/>
      <c r="H120" s="278" t="e">
        <f>SUM(C120:G120)</f>
        <v>#VALUE!</v>
      </c>
    </row>
    <row r="121" spans="1:8" hidden="1" x14ac:dyDescent="0.25">
      <c r="A121" s="275" t="s">
        <v>12</v>
      </c>
      <c r="B121" s="280">
        <f t="shared" ref="B121" si="108">SUM(B119:B120)</f>
        <v>0</v>
      </c>
      <c r="C121" s="280" t="e">
        <f t="shared" ref="C121" si="109">SUM(C119:C120)</f>
        <v>#VALUE!</v>
      </c>
      <c r="D121" s="280" t="e">
        <f t="shared" ref="D121" si="110">SUM(D119:D120)</f>
        <v>#VALUE!</v>
      </c>
      <c r="E121" s="280" t="e">
        <f t="shared" ref="E121" si="111">SUM(E119:E120)</f>
        <v>#VALUE!</v>
      </c>
      <c r="F121" s="280">
        <f t="shared" ref="F121" si="112">SUM(F119:F120)</f>
        <v>0</v>
      </c>
      <c r="G121" s="280">
        <f t="shared" ref="G121" si="113">SUM(G119:G120)</f>
        <v>0</v>
      </c>
      <c r="H121" s="280" t="e">
        <f>SUM(H119:H120)</f>
        <v>#VALUE!</v>
      </c>
    </row>
    <row r="122" spans="1:8" hidden="1" x14ac:dyDescent="0.25"/>
    <row r="123" spans="1:8" ht="15.75" hidden="1" thickBot="1" x14ac:dyDescent="0.3"/>
    <row r="124" spans="1:8" hidden="1" x14ac:dyDescent="0.25">
      <c r="B124" s="293" t="s">
        <v>476</v>
      </c>
      <c r="C124" s="267"/>
      <c r="D124" s="267"/>
      <c r="E124" s="267"/>
      <c r="F124" s="267"/>
      <c r="G124" s="267"/>
      <c r="H124" s="267"/>
    </row>
    <row r="125" spans="1:8" hidden="1" x14ac:dyDescent="0.25">
      <c r="B125" s="270" t="s">
        <v>461</v>
      </c>
      <c r="C125" s="270" t="s">
        <v>3</v>
      </c>
      <c r="D125" s="270" t="s">
        <v>462</v>
      </c>
      <c r="E125" s="270" t="s">
        <v>463</v>
      </c>
      <c r="F125" s="270" t="s">
        <v>464</v>
      </c>
      <c r="G125" s="270" t="s">
        <v>465</v>
      </c>
      <c r="H125" s="292" t="s">
        <v>12</v>
      </c>
    </row>
    <row r="126" spans="1:8" hidden="1" x14ac:dyDescent="0.25">
      <c r="A126" s="269" t="s">
        <v>471</v>
      </c>
      <c r="B126" s="278" t="s">
        <v>191</v>
      </c>
      <c r="C126" s="278"/>
      <c r="D126" s="278"/>
      <c r="E126" s="278"/>
      <c r="F126" s="278">
        <f>Y59</f>
        <v>0</v>
      </c>
      <c r="G126" s="278">
        <f>X59</f>
        <v>0</v>
      </c>
      <c r="H126" s="278">
        <f>SUM(C126:G126)</f>
        <v>0</v>
      </c>
    </row>
    <row r="127" spans="1:8" hidden="1" x14ac:dyDescent="0.25">
      <c r="A127" s="269" t="s">
        <v>441</v>
      </c>
      <c r="B127" s="278">
        <f>G44</f>
        <v>0</v>
      </c>
      <c r="C127" s="278">
        <f>B127/'Researcher Salary Scales. '!$K$2*'Researcher Salary Scales. '!$J$2</f>
        <v>0</v>
      </c>
      <c r="D127" s="278">
        <f>B127/'Researcher Salary Scales. '!$K$2</f>
        <v>0</v>
      </c>
      <c r="E127" s="278">
        <f>B127/'Researcher Salary Scales. '!$K$2*'Researcher Salary Scales. '!$J$3</f>
        <v>0</v>
      </c>
      <c r="F127" s="278"/>
      <c r="G127" s="278"/>
      <c r="H127" s="278">
        <f>SUM(C127:G127)</f>
        <v>0</v>
      </c>
    </row>
    <row r="128" spans="1:8" hidden="1" x14ac:dyDescent="0.25">
      <c r="A128" s="275" t="s">
        <v>12</v>
      </c>
      <c r="B128" s="280">
        <f t="shared" ref="B128" si="114">SUM(B126:B127)</f>
        <v>0</v>
      </c>
      <c r="C128" s="280">
        <f t="shared" ref="C128" si="115">SUM(C126:C127)</f>
        <v>0</v>
      </c>
      <c r="D128" s="280">
        <f t="shared" ref="D128" si="116">SUM(D126:D127)</f>
        <v>0</v>
      </c>
      <c r="E128" s="280">
        <f t="shared" ref="E128" si="117">SUM(E126:E127)</f>
        <v>0</v>
      </c>
      <c r="F128" s="280">
        <f t="shared" ref="F128" si="118">SUM(F126:F127)</f>
        <v>0</v>
      </c>
      <c r="G128" s="280">
        <f t="shared" ref="G128" si="119">SUM(G126:G127)</f>
        <v>0</v>
      </c>
      <c r="H128" s="280">
        <f>SUM(H126:H127)</f>
        <v>0</v>
      </c>
    </row>
    <row r="129" hidden="1" x14ac:dyDescent="0.25"/>
  </sheetData>
  <sheetProtection algorithmName="SHA-512" hashValue="5TlwbU1PJpe1X/yBEvO4T7bj2Tw2exjxTMspSMS7mwcClxkVTdmhfBHgj63mRLgAafD4hCzWerg2H3pEXx1rVQ==" saltValue="l5Z/cZqA4NuQGlWnshSu3A==" spinCount="100000" sheet="1" objects="1" scenarios="1"/>
  <mergeCells count="11">
    <mergeCell ref="A24:A27"/>
    <mergeCell ref="A4:B4"/>
    <mergeCell ref="A8:A11"/>
    <mergeCell ref="A12:A15"/>
    <mergeCell ref="A16:A19"/>
    <mergeCell ref="A20:A23"/>
    <mergeCell ref="A44:A47"/>
    <mergeCell ref="A28:A31"/>
    <mergeCell ref="A32:A35"/>
    <mergeCell ref="A36:A39"/>
    <mergeCell ref="A40:A43"/>
  </mergeCells>
  <phoneticPr fontId="20" type="noConversion"/>
  <dataValidations xWindow="578" yWindow="255" count="5">
    <dataValidation type="whole" allowBlank="1" showInputMessage="1" showErrorMessage="1" error="Number of months must be between 0 - 12." sqref="D71:G85" xr:uid="{B0283BB8-2CB1-46F1-880E-A70FB7F80CE9}">
      <formula1>0</formula1>
      <formula2>12</formula2>
    </dataValidation>
    <dataValidation allowBlank="1" showInputMessage="1" showErrorMessage="1" promptTitle="FTE Equivalent is N/A" prompt="FTE Equivalent does not arise for students!" sqref="C81:C85" xr:uid="{09CEDF70-0B3A-4D02-88FB-20791185CBCD}"/>
    <dataValidation allowBlank="1" showInputMessage="1" showErrorMessage="1" promptTitle="Not working full-time? " prompt="This template assumes that your researcher is working full-time on the project. If this is not the case, then you need to manually insert the FTE (full time equivalent) per centage in this cell e.g., if only working 2 days per week = 40%." sqref="C71:C80" xr:uid="{00D1598D-79FB-4DC0-98A9-6374830CA251}"/>
    <dataValidation allowBlank="1" showInputMessage="1" showErrorMessage="1" promptTitle="DO NOT INPUT DATA" prompt="These cells are auto-populated. Do not enter data. " sqref="C59:F59 C8:F49 C61:F65 G8:H65" xr:uid="{792EC0EA-3F98-420E-A258-F2101A751734}"/>
    <dataValidation type="list" allowBlank="1" showInputMessage="1" showErrorMessage="1" sqref="B51 B53 B55 B57 B60" xr:uid="{86FF874D-8241-4A0B-806C-86226B72D125}">
      <formula1>"Select Registration Fees, Registration Fees, Not Applicable"</formula1>
    </dataValidation>
  </dataValidations>
  <pageMargins left="0.70866141732283472" right="0.70866141732283472" top="0.74803149606299213" bottom="0.74803149606299213" header="0.31496062992125984" footer="0.31496062992125984"/>
  <pageSetup scale="48" orientation="portrait" horizontalDpi="4294967293" verticalDpi="1200" r:id="rId1"/>
  <drawing r:id="rId2"/>
  <extLst>
    <ext xmlns:x14="http://schemas.microsoft.com/office/spreadsheetml/2009/9/main" uri="{CCE6A557-97BC-4b89-ADB6-D9C93CAAB3DF}">
      <x14:dataValidations xmlns:xm="http://schemas.microsoft.com/office/excel/2006/main" xWindow="578" yWindow="255" count="3">
        <x14:dataValidation type="list" allowBlank="1" showInputMessage="1" showErrorMessage="1" xr:uid="{A24CCB03-FBA3-45AC-9FC0-96BEE1DCB0DE}">
          <x14:formula1>
            <xm:f>'Student Stipend - OLD'!$A$50:$A$52</xm:f>
          </x14:formula1>
          <xm:sqref>L49 O49 R49 U49 X49 B50 B52 B54 B56 B58</xm:sqref>
        </x14:dataValidation>
        <x14:dataValidation type="list" allowBlank="1" showInputMessage="1" showErrorMessage="1" xr:uid="{C6690AE1-53B5-4C85-BB3A-51814F200B43}">
          <x14:formula1>
            <xm:f>'Student Stipend - OLD'!$A$35:$A$47</xm:f>
          </x14:formula1>
          <xm:sqref>B59</xm:sqref>
        </x14:dataValidation>
        <x14:dataValidation type="list" allowBlank="1" showInputMessage="1" showErrorMessage="1" promptTitle="Starting in Year 2 or 3 or 4..." prompt="If your team member does not start in Year 1 then please read Table 2- Time Committment and watch our troubleshooter video. " xr:uid="{A4093698-866E-4CE7-A7A9-C47004FEF258}">
          <x14:formula1>
            <xm:f>'All job positions.'!$A$6:$A$38</xm:f>
          </x14:formula1>
          <xm:sqref>B8 B12 B16 B20 B24 B28 B32 B36 B40 B44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CC98-A219-4F56-ACB1-253E841C2962}">
  <sheetPr>
    <tabColor rgb="FF00B050"/>
    <pageSetUpPr fitToPage="1"/>
  </sheetPr>
  <dimension ref="A1:M99"/>
  <sheetViews>
    <sheetView zoomScale="80" zoomScaleNormal="80" zoomScaleSheetLayoutView="70" workbookViewId="0">
      <selection activeCell="B18" sqref="B18"/>
    </sheetView>
  </sheetViews>
  <sheetFormatPr defaultRowHeight="15" x14ac:dyDescent="0.25"/>
  <cols>
    <col min="1" max="1" width="42" customWidth="1"/>
    <col min="2" max="2" width="65.85546875" bestFit="1" customWidth="1"/>
    <col min="3" max="3" width="14" customWidth="1"/>
    <col min="4" max="6" width="14" bestFit="1" customWidth="1"/>
    <col min="7" max="7" width="14" customWidth="1"/>
    <col min="8" max="8" width="12.42578125" bestFit="1" customWidth="1"/>
    <col min="9" max="9" width="9.140625" customWidth="1"/>
    <col min="10" max="10" width="19.7109375" customWidth="1"/>
    <col min="11" max="11" width="13.28515625" customWidth="1"/>
    <col min="12" max="12" width="9.140625" customWidth="1"/>
    <col min="13" max="14" width="8.85546875" customWidth="1"/>
  </cols>
  <sheetData>
    <row r="1" spans="1:13" ht="18.75" x14ac:dyDescent="0.3">
      <c r="A1" s="109" t="s">
        <v>398</v>
      </c>
      <c r="B1" s="106"/>
      <c r="C1" s="108"/>
      <c r="D1" s="106"/>
      <c r="E1" s="106"/>
      <c r="F1" s="106"/>
      <c r="G1" s="106"/>
      <c r="H1" s="106"/>
      <c r="J1" s="85" t="s">
        <v>193</v>
      </c>
      <c r="K1" s="85">
        <v>12</v>
      </c>
      <c r="L1" s="1"/>
      <c r="M1">
        <v>12</v>
      </c>
    </row>
    <row r="2" spans="1:13" ht="18.75" x14ac:dyDescent="0.3">
      <c r="A2" s="110" t="s">
        <v>261</v>
      </c>
      <c r="B2" s="106"/>
      <c r="C2" s="108"/>
      <c r="D2" s="106"/>
      <c r="E2" s="106"/>
      <c r="F2" s="106"/>
      <c r="G2" s="106"/>
      <c r="H2" s="106"/>
      <c r="J2" s="85"/>
      <c r="K2" s="85"/>
      <c r="L2" s="1"/>
      <c r="M2">
        <v>12</v>
      </c>
    </row>
    <row r="3" spans="1:13" ht="19.5" thickBot="1" x14ac:dyDescent="0.35">
      <c r="A3" s="110" t="s">
        <v>372</v>
      </c>
      <c r="B3" s="106"/>
      <c r="C3" s="108"/>
      <c r="D3" s="106"/>
      <c r="E3" s="106"/>
      <c r="F3" s="106"/>
      <c r="G3" s="106"/>
      <c r="H3" s="106"/>
      <c r="J3" s="85"/>
      <c r="K3" s="85">
        <v>12</v>
      </c>
      <c r="L3" s="1"/>
    </row>
    <row r="4" spans="1:13" ht="36" customHeight="1" thickBot="1" x14ac:dyDescent="0.35">
      <c r="A4" s="467" t="s">
        <v>373</v>
      </c>
      <c r="B4" s="467"/>
      <c r="C4" s="108"/>
      <c r="D4" s="106"/>
      <c r="E4" s="106"/>
      <c r="F4" s="106"/>
      <c r="G4" s="106"/>
      <c r="H4" s="106"/>
      <c r="J4" s="16" t="s">
        <v>3</v>
      </c>
      <c r="K4" s="17">
        <v>0</v>
      </c>
      <c r="L4" t="s">
        <v>526</v>
      </c>
      <c r="M4" s="341">
        <v>0.1105</v>
      </c>
    </row>
    <row r="5" spans="1:13" ht="18.75" x14ac:dyDescent="0.3">
      <c r="A5" s="210" t="s">
        <v>408</v>
      </c>
      <c r="B5" s="74"/>
      <c r="C5" s="6" t="s">
        <v>109</v>
      </c>
      <c r="D5" s="6" t="s">
        <v>110</v>
      </c>
      <c r="E5" s="6" t="s">
        <v>111</v>
      </c>
      <c r="F5" s="6" t="s">
        <v>112</v>
      </c>
      <c r="H5" s="106"/>
      <c r="J5" s="22" t="s">
        <v>4</v>
      </c>
      <c r="K5" s="31">
        <v>0</v>
      </c>
      <c r="L5" t="s">
        <v>527</v>
      </c>
      <c r="M5" s="4">
        <v>0.2</v>
      </c>
    </row>
    <row r="6" spans="1:13" ht="15.75" thickBot="1" x14ac:dyDescent="0.3">
      <c r="A6" s="55"/>
      <c r="C6" s="101" t="s">
        <v>117</v>
      </c>
      <c r="D6" s="101" t="s">
        <v>125</v>
      </c>
      <c r="E6" s="101" t="s">
        <v>219</v>
      </c>
      <c r="F6" s="101" t="s">
        <v>351</v>
      </c>
      <c r="H6" s="224"/>
      <c r="J6" s="18" t="s">
        <v>119</v>
      </c>
      <c r="K6" s="36">
        <v>1.03</v>
      </c>
    </row>
    <row r="7" spans="1:13" ht="30" x14ac:dyDescent="0.25">
      <c r="A7" s="55"/>
      <c r="C7" s="221" t="s">
        <v>406</v>
      </c>
      <c r="D7" s="221" t="s">
        <v>407</v>
      </c>
      <c r="E7" s="221" t="s">
        <v>407</v>
      </c>
      <c r="F7" s="221" t="s">
        <v>407</v>
      </c>
      <c r="H7" s="224"/>
      <c r="J7" s="125"/>
      <c r="K7" s="126"/>
    </row>
    <row r="8" spans="1:13" x14ac:dyDescent="0.25">
      <c r="A8" s="60" t="s">
        <v>399</v>
      </c>
      <c r="B8" s="1" t="s">
        <v>391</v>
      </c>
      <c r="C8" s="46" t="s">
        <v>5</v>
      </c>
      <c r="D8" s="46" t="s">
        <v>5</v>
      </c>
      <c r="E8" s="46" t="s">
        <v>5</v>
      </c>
      <c r="F8" s="46" t="s">
        <v>5</v>
      </c>
      <c r="H8" s="224"/>
      <c r="J8" s="125" t="s">
        <v>12</v>
      </c>
      <c r="K8" s="219">
        <f>100%+K4+K5</f>
        <v>1</v>
      </c>
    </row>
    <row r="9" spans="1:13" ht="30" x14ac:dyDescent="0.25">
      <c r="A9" s="92" t="s">
        <v>400</v>
      </c>
      <c r="B9" s="220" t="s">
        <v>405</v>
      </c>
      <c r="C9" s="222">
        <v>0</v>
      </c>
      <c r="D9" s="222">
        <v>0</v>
      </c>
      <c r="E9" s="222">
        <v>0</v>
      </c>
      <c r="F9" s="222">
        <v>0</v>
      </c>
      <c r="H9" s="225"/>
      <c r="K9" s="349">
        <f>K6</f>
        <v>1.03</v>
      </c>
    </row>
    <row r="10" spans="1:13" ht="30" x14ac:dyDescent="0.25">
      <c r="A10" s="92" t="s">
        <v>401</v>
      </c>
      <c r="B10" s="220" t="s">
        <v>405</v>
      </c>
      <c r="C10" s="222">
        <v>0</v>
      </c>
      <c r="D10" s="222">
        <v>0</v>
      </c>
      <c r="E10" s="222">
        <v>0</v>
      </c>
      <c r="F10" s="222">
        <v>0</v>
      </c>
      <c r="H10" s="225"/>
    </row>
    <row r="11" spans="1:13" ht="30" x14ac:dyDescent="0.25">
      <c r="A11" s="92" t="s">
        <v>402</v>
      </c>
      <c r="B11" s="220" t="s">
        <v>405</v>
      </c>
      <c r="C11" s="222">
        <v>0</v>
      </c>
      <c r="D11" s="222">
        <v>0</v>
      </c>
      <c r="E11" s="222">
        <v>0</v>
      </c>
      <c r="F11" s="222">
        <v>0</v>
      </c>
      <c r="H11" s="225"/>
    </row>
    <row r="12" spans="1:13" ht="30" x14ac:dyDescent="0.25">
      <c r="A12" s="92" t="s">
        <v>403</v>
      </c>
      <c r="B12" s="220" t="s">
        <v>405</v>
      </c>
      <c r="C12" s="222">
        <v>0</v>
      </c>
      <c r="D12" s="222">
        <v>0</v>
      </c>
      <c r="E12" s="222">
        <v>0</v>
      </c>
      <c r="F12" s="222">
        <v>0</v>
      </c>
      <c r="H12" s="225"/>
    </row>
    <row r="13" spans="1:13" ht="30.75" thickBot="1" x14ac:dyDescent="0.3">
      <c r="A13" s="166" t="s">
        <v>404</v>
      </c>
      <c r="B13" s="223" t="s">
        <v>405</v>
      </c>
      <c r="C13" s="222">
        <v>0</v>
      </c>
      <c r="D13" s="222">
        <v>0</v>
      </c>
      <c r="E13" s="222">
        <v>0</v>
      </c>
      <c r="F13" s="222">
        <v>0</v>
      </c>
      <c r="H13" s="225"/>
    </row>
    <row r="14" spans="1:13" ht="15.75" thickBot="1" x14ac:dyDescent="0.3">
      <c r="A14" s="106"/>
      <c r="B14" s="106"/>
      <c r="C14" s="106"/>
      <c r="D14" s="106"/>
      <c r="E14" s="106"/>
      <c r="F14" s="106"/>
      <c r="G14" s="106"/>
      <c r="H14" s="106"/>
    </row>
    <row r="15" spans="1:13" ht="18.75" x14ac:dyDescent="0.3">
      <c r="A15" s="210" t="s">
        <v>409</v>
      </c>
      <c r="B15" s="74"/>
      <c r="C15" s="6" t="s">
        <v>109</v>
      </c>
      <c r="D15" s="6" t="s">
        <v>110</v>
      </c>
      <c r="E15" s="6" t="s">
        <v>111</v>
      </c>
      <c r="F15" s="6" t="s">
        <v>112</v>
      </c>
      <c r="G15" s="59"/>
    </row>
    <row r="16" spans="1:13" x14ac:dyDescent="0.25">
      <c r="A16" s="55"/>
      <c r="C16" s="101" t="s">
        <v>117</v>
      </c>
      <c r="D16" s="101" t="s">
        <v>125</v>
      </c>
      <c r="E16" s="101" t="s">
        <v>219</v>
      </c>
      <c r="F16" s="101" t="s">
        <v>351</v>
      </c>
      <c r="G16" s="61" t="s">
        <v>12</v>
      </c>
    </row>
    <row r="17" spans="1:7" ht="30" x14ac:dyDescent="0.25">
      <c r="A17" s="55"/>
      <c r="C17" s="221" t="s">
        <v>406</v>
      </c>
      <c r="D17" s="221" t="s">
        <v>407</v>
      </c>
      <c r="E17" s="221" t="s">
        <v>407</v>
      </c>
      <c r="F17" s="221" t="s">
        <v>407</v>
      </c>
      <c r="G17" s="61"/>
    </row>
    <row r="18" spans="1:7" x14ac:dyDescent="0.25">
      <c r="A18" s="60" t="s">
        <v>399</v>
      </c>
      <c r="B18" s="1" t="s">
        <v>391</v>
      </c>
      <c r="C18" s="3" t="s">
        <v>5</v>
      </c>
      <c r="D18" s="3" t="s">
        <v>5</v>
      </c>
      <c r="E18" s="3" t="s">
        <v>5</v>
      </c>
      <c r="F18" s="3" t="s">
        <v>5</v>
      </c>
      <c r="G18" s="61" t="s">
        <v>6</v>
      </c>
    </row>
    <row r="19" spans="1:7" ht="30" x14ac:dyDescent="0.25">
      <c r="A19" s="468" t="s">
        <v>400</v>
      </c>
      <c r="B19" s="226" t="str">
        <f>B9</f>
        <v>Enter the scale and starting point of scale here and enter all points on scale between starting point and ending point in Columns C-G.</v>
      </c>
      <c r="C19" s="348">
        <f>(C9)/$M$1*D47*C47</f>
        <v>0</v>
      </c>
      <c r="D19" s="348">
        <f t="shared" ref="D19:F19" si="0">(D9*$K$9)/$M$1*E47*$C$47</f>
        <v>0</v>
      </c>
      <c r="E19" s="348">
        <f t="shared" si="0"/>
        <v>0</v>
      </c>
      <c r="F19" s="348">
        <f t="shared" si="0"/>
        <v>0</v>
      </c>
      <c r="G19" s="54">
        <f>SUM(C19:F19)</f>
        <v>0</v>
      </c>
    </row>
    <row r="20" spans="1:7" x14ac:dyDescent="0.25">
      <c r="A20" s="469"/>
      <c r="B20" s="340" t="s">
        <v>522</v>
      </c>
      <c r="C20" s="348">
        <f>C19*$M$4</f>
        <v>0</v>
      </c>
      <c r="D20" s="348">
        <f t="shared" ref="D20:F20" si="1">D19*$M$4</f>
        <v>0</v>
      </c>
      <c r="E20" s="348">
        <f t="shared" si="1"/>
        <v>0</v>
      </c>
      <c r="F20" s="348">
        <f t="shared" si="1"/>
        <v>0</v>
      </c>
      <c r="G20" s="54">
        <f>SUM(C20:F20)</f>
        <v>0</v>
      </c>
    </row>
    <row r="21" spans="1:7" x14ac:dyDescent="0.25">
      <c r="A21" s="469"/>
      <c r="B21" s="340" t="s">
        <v>523</v>
      </c>
      <c r="C21" s="348">
        <f>C19*$M$5</f>
        <v>0</v>
      </c>
      <c r="D21" s="348">
        <f t="shared" ref="D21:F21" si="2">D19*$M$5</f>
        <v>0</v>
      </c>
      <c r="E21" s="348">
        <f t="shared" si="2"/>
        <v>0</v>
      </c>
      <c r="F21" s="348">
        <f t="shared" si="2"/>
        <v>0</v>
      </c>
      <c r="G21" s="54">
        <f t="shared" ref="G21:G39" si="3">SUM(C21:F21)</f>
        <v>0</v>
      </c>
    </row>
    <row r="22" spans="1:7" x14ac:dyDescent="0.25">
      <c r="A22" s="470"/>
      <c r="B22" s="350" t="s">
        <v>524</v>
      </c>
      <c r="C22" s="348">
        <f>SUM(C19:C21)</f>
        <v>0</v>
      </c>
      <c r="D22" s="348">
        <f t="shared" ref="D22:F22" si="4">SUM(D19:D21)</f>
        <v>0</v>
      </c>
      <c r="E22" s="348">
        <f t="shared" si="4"/>
        <v>0</v>
      </c>
      <c r="F22" s="348">
        <f t="shared" si="4"/>
        <v>0</v>
      </c>
      <c r="G22" s="54">
        <f t="shared" si="3"/>
        <v>0</v>
      </c>
    </row>
    <row r="23" spans="1:7" ht="30" x14ac:dyDescent="0.25">
      <c r="A23" s="468" t="s">
        <v>401</v>
      </c>
      <c r="B23" s="226" t="str">
        <f>B10</f>
        <v>Enter the scale and starting point of scale here and enter all points on scale between starting point and ending point in Columns C-G.</v>
      </c>
      <c r="C23" s="348">
        <f>(C10)/$M$1*D48*$C$48</f>
        <v>0</v>
      </c>
      <c r="D23" s="348">
        <f t="shared" ref="D23:F23" si="5">(D10*$K$9)/$M$1*E48*$C$48</f>
        <v>0</v>
      </c>
      <c r="E23" s="348">
        <f t="shared" si="5"/>
        <v>0</v>
      </c>
      <c r="F23" s="348">
        <f t="shared" si="5"/>
        <v>0</v>
      </c>
      <c r="G23" s="54">
        <f t="shared" si="3"/>
        <v>0</v>
      </c>
    </row>
    <row r="24" spans="1:7" x14ac:dyDescent="0.25">
      <c r="A24" s="469"/>
      <c r="B24" s="340" t="s">
        <v>522</v>
      </c>
      <c r="C24" s="348">
        <f>C23*$M$4</f>
        <v>0</v>
      </c>
      <c r="D24" s="348">
        <f t="shared" ref="D24" si="6">D23*$M$4</f>
        <v>0</v>
      </c>
      <c r="E24" s="348">
        <f t="shared" ref="E24" si="7">E23*$M$4</f>
        <v>0</v>
      </c>
      <c r="F24" s="348">
        <f t="shared" ref="F24" si="8">F23*$M$4</f>
        <v>0</v>
      </c>
      <c r="G24" s="54">
        <f t="shared" si="3"/>
        <v>0</v>
      </c>
    </row>
    <row r="25" spans="1:7" x14ac:dyDescent="0.25">
      <c r="A25" s="469"/>
      <c r="B25" s="340" t="s">
        <v>523</v>
      </c>
      <c r="C25" s="348">
        <f>C23*$M$5</f>
        <v>0</v>
      </c>
      <c r="D25" s="348">
        <f t="shared" ref="D25:F25" si="9">D23*$M$5</f>
        <v>0</v>
      </c>
      <c r="E25" s="348">
        <f t="shared" si="9"/>
        <v>0</v>
      </c>
      <c r="F25" s="348">
        <f t="shared" si="9"/>
        <v>0</v>
      </c>
      <c r="G25" s="54">
        <f t="shared" si="3"/>
        <v>0</v>
      </c>
    </row>
    <row r="26" spans="1:7" x14ac:dyDescent="0.25">
      <c r="A26" s="470"/>
      <c r="B26" s="350" t="s">
        <v>524</v>
      </c>
      <c r="C26" s="348">
        <f>SUM(C23:C25)</f>
        <v>0</v>
      </c>
      <c r="D26" s="348">
        <f t="shared" ref="D26" si="10">SUM(D23:D25)</f>
        <v>0</v>
      </c>
      <c r="E26" s="348">
        <f t="shared" ref="E26" si="11">SUM(E23:E25)</f>
        <v>0</v>
      </c>
      <c r="F26" s="348">
        <f t="shared" ref="F26" si="12">SUM(F23:F25)</f>
        <v>0</v>
      </c>
      <c r="G26" s="54">
        <f t="shared" si="3"/>
        <v>0</v>
      </c>
    </row>
    <row r="27" spans="1:7" ht="30" x14ac:dyDescent="0.25">
      <c r="A27" s="468" t="s">
        <v>402</v>
      </c>
      <c r="B27" s="226" t="str">
        <f>B11</f>
        <v>Enter the scale and starting point of scale here and enter all points on scale between starting point and ending point in Columns C-G.</v>
      </c>
      <c r="C27" s="348">
        <f>(C11)/$M$1*D49*$C$49</f>
        <v>0</v>
      </c>
      <c r="D27" s="348">
        <f t="shared" ref="D27:F27" si="13">(D11*$K$9)/$M$1*E49*$C$49</f>
        <v>0</v>
      </c>
      <c r="E27" s="348">
        <f t="shared" si="13"/>
        <v>0</v>
      </c>
      <c r="F27" s="348">
        <f t="shared" si="13"/>
        <v>0</v>
      </c>
      <c r="G27" s="54">
        <f t="shared" si="3"/>
        <v>0</v>
      </c>
    </row>
    <row r="28" spans="1:7" x14ac:dyDescent="0.25">
      <c r="A28" s="469"/>
      <c r="B28" s="340" t="s">
        <v>522</v>
      </c>
      <c r="C28" s="348">
        <f>C27*$M$4</f>
        <v>0</v>
      </c>
      <c r="D28" s="348">
        <f t="shared" ref="D28" si="14">D27*$M$4</f>
        <v>0</v>
      </c>
      <c r="E28" s="348">
        <f t="shared" ref="E28" si="15">E27*$M$4</f>
        <v>0</v>
      </c>
      <c r="F28" s="348">
        <f t="shared" ref="F28" si="16">F27*$M$4</f>
        <v>0</v>
      </c>
      <c r="G28" s="54">
        <f t="shared" si="3"/>
        <v>0</v>
      </c>
    </row>
    <row r="29" spans="1:7" x14ac:dyDescent="0.25">
      <c r="A29" s="469"/>
      <c r="B29" s="340" t="s">
        <v>523</v>
      </c>
      <c r="C29" s="348">
        <f>C27*$M$5</f>
        <v>0</v>
      </c>
      <c r="D29" s="348">
        <f t="shared" ref="D29:F29" si="17">D27*$M$5</f>
        <v>0</v>
      </c>
      <c r="E29" s="348">
        <f t="shared" si="17"/>
        <v>0</v>
      </c>
      <c r="F29" s="348">
        <f t="shared" si="17"/>
        <v>0</v>
      </c>
      <c r="G29" s="54">
        <f t="shared" si="3"/>
        <v>0</v>
      </c>
    </row>
    <row r="30" spans="1:7" x14ac:dyDescent="0.25">
      <c r="A30" s="470"/>
      <c r="B30" s="350" t="s">
        <v>524</v>
      </c>
      <c r="C30" s="348">
        <f>SUM(C27:C29)</f>
        <v>0</v>
      </c>
      <c r="D30" s="348">
        <f t="shared" ref="D30" si="18">SUM(D27:D29)</f>
        <v>0</v>
      </c>
      <c r="E30" s="348">
        <f t="shared" ref="E30" si="19">SUM(E27:E29)</f>
        <v>0</v>
      </c>
      <c r="F30" s="348">
        <f t="shared" ref="F30" si="20">SUM(F27:F29)</f>
        <v>0</v>
      </c>
      <c r="G30" s="54">
        <f t="shared" si="3"/>
        <v>0</v>
      </c>
    </row>
    <row r="31" spans="1:7" ht="30" x14ac:dyDescent="0.25">
      <c r="A31" s="468" t="s">
        <v>403</v>
      </c>
      <c r="B31" s="226" t="str">
        <f>B12</f>
        <v>Enter the scale and starting point of scale here and enter all points on scale between starting point and ending point in Columns C-G.</v>
      </c>
      <c r="C31" s="348">
        <f>(C12)/$M$1*D50*$C$50</f>
        <v>0</v>
      </c>
      <c r="D31" s="348">
        <f t="shared" ref="D31:F31" si="21">(D12*$K$9)/$M$1*E50*$C$50</f>
        <v>0</v>
      </c>
      <c r="E31" s="348">
        <f t="shared" si="21"/>
        <v>0</v>
      </c>
      <c r="F31" s="348">
        <f t="shared" si="21"/>
        <v>0</v>
      </c>
      <c r="G31" s="54">
        <f t="shared" si="3"/>
        <v>0</v>
      </c>
    </row>
    <row r="32" spans="1:7" x14ac:dyDescent="0.25">
      <c r="A32" s="469"/>
      <c r="B32" s="340" t="s">
        <v>522</v>
      </c>
      <c r="C32" s="348">
        <f>C31*$M$4</f>
        <v>0</v>
      </c>
      <c r="D32" s="348">
        <f t="shared" ref="D32" si="22">D31*$M$4</f>
        <v>0</v>
      </c>
      <c r="E32" s="348">
        <f t="shared" ref="E32" si="23">E31*$M$4</f>
        <v>0</v>
      </c>
      <c r="F32" s="348">
        <f t="shared" ref="F32" si="24">F31*$M$4</f>
        <v>0</v>
      </c>
      <c r="G32" s="54">
        <f t="shared" si="3"/>
        <v>0</v>
      </c>
    </row>
    <row r="33" spans="1:8" x14ac:dyDescent="0.25">
      <c r="A33" s="469"/>
      <c r="B33" s="340" t="s">
        <v>523</v>
      </c>
      <c r="C33" s="348">
        <f>C31*$M$5</f>
        <v>0</v>
      </c>
      <c r="D33" s="348">
        <f t="shared" ref="D33:F33" si="25">D31*$M$5</f>
        <v>0</v>
      </c>
      <c r="E33" s="348">
        <f t="shared" si="25"/>
        <v>0</v>
      </c>
      <c r="F33" s="348">
        <f t="shared" si="25"/>
        <v>0</v>
      </c>
      <c r="G33" s="54">
        <f t="shared" si="3"/>
        <v>0</v>
      </c>
    </row>
    <row r="34" spans="1:8" x14ac:dyDescent="0.25">
      <c r="A34" s="470"/>
      <c r="B34" s="350" t="s">
        <v>524</v>
      </c>
      <c r="C34" s="348">
        <f>SUM(C31:C33)</f>
        <v>0</v>
      </c>
      <c r="D34" s="348">
        <f t="shared" ref="D34" si="26">SUM(D31:D33)</f>
        <v>0</v>
      </c>
      <c r="E34" s="348">
        <f t="shared" ref="E34" si="27">SUM(E31:E33)</f>
        <v>0</v>
      </c>
      <c r="F34" s="348">
        <f t="shared" ref="F34" si="28">SUM(F31:F33)</f>
        <v>0</v>
      </c>
      <c r="G34" s="54">
        <f t="shared" si="3"/>
        <v>0</v>
      </c>
    </row>
    <row r="35" spans="1:8" ht="30" x14ac:dyDescent="0.25">
      <c r="A35" s="468" t="s">
        <v>404</v>
      </c>
      <c r="B35" s="226" t="str">
        <f>B13</f>
        <v>Enter the scale and starting point of scale here and enter all points on scale between starting point and ending point in Columns C-G.</v>
      </c>
      <c r="C35" s="348">
        <f>(C13)/$M$1*D51*$C$51</f>
        <v>0</v>
      </c>
      <c r="D35" s="348">
        <f t="shared" ref="D35:F35" si="29">(D13*$K$9)/$M$1*E51*$C$51</f>
        <v>0</v>
      </c>
      <c r="E35" s="348">
        <f t="shared" si="29"/>
        <v>0</v>
      </c>
      <c r="F35" s="348">
        <f t="shared" si="29"/>
        <v>0</v>
      </c>
      <c r="G35" s="54">
        <f t="shared" si="3"/>
        <v>0</v>
      </c>
    </row>
    <row r="36" spans="1:8" x14ac:dyDescent="0.25">
      <c r="A36" s="469"/>
      <c r="B36" s="340" t="s">
        <v>522</v>
      </c>
      <c r="C36" s="348">
        <f>C35*$M$4</f>
        <v>0</v>
      </c>
      <c r="D36" s="348">
        <f t="shared" ref="D36" si="30">D35*$M$4</f>
        <v>0</v>
      </c>
      <c r="E36" s="348">
        <f t="shared" ref="E36" si="31">E35*$M$4</f>
        <v>0</v>
      </c>
      <c r="F36" s="348">
        <f t="shared" ref="F36" si="32">F35*$M$4</f>
        <v>0</v>
      </c>
      <c r="G36" s="54">
        <f t="shared" si="3"/>
        <v>0</v>
      </c>
    </row>
    <row r="37" spans="1:8" x14ac:dyDescent="0.25">
      <c r="A37" s="469"/>
      <c r="B37" s="340" t="s">
        <v>523</v>
      </c>
      <c r="C37" s="348">
        <f>C35*$M$5</f>
        <v>0</v>
      </c>
      <c r="D37" s="348">
        <f t="shared" ref="D37:F37" si="33">D35*$M$5</f>
        <v>0</v>
      </c>
      <c r="E37" s="348">
        <f t="shared" si="33"/>
        <v>0</v>
      </c>
      <c r="F37" s="348">
        <f t="shared" si="33"/>
        <v>0</v>
      </c>
      <c r="G37" s="54">
        <f t="shared" si="3"/>
        <v>0</v>
      </c>
    </row>
    <row r="38" spans="1:8" ht="15.75" thickBot="1" x14ac:dyDescent="0.3">
      <c r="A38" s="470"/>
      <c r="B38" s="350" t="s">
        <v>524</v>
      </c>
      <c r="C38" s="348">
        <f>SUM(C35:C37)</f>
        <v>0</v>
      </c>
      <c r="D38" s="348">
        <f t="shared" ref="D38" si="34">SUM(D35:D37)</f>
        <v>0</v>
      </c>
      <c r="E38" s="348">
        <f t="shared" ref="E38" si="35">SUM(E35:E37)</f>
        <v>0</v>
      </c>
      <c r="F38" s="348">
        <f t="shared" ref="F38" si="36">SUM(F35:F37)</f>
        <v>0</v>
      </c>
      <c r="G38" s="54">
        <f t="shared" si="3"/>
        <v>0</v>
      </c>
    </row>
    <row r="39" spans="1:8" ht="15.75" thickBot="1" x14ac:dyDescent="0.3">
      <c r="A39" s="398" t="s">
        <v>416</v>
      </c>
      <c r="B39" s="340"/>
      <c r="C39" s="399">
        <f>SUM(C38,C34,C30,C26,C22)</f>
        <v>0</v>
      </c>
      <c r="D39" s="399">
        <f t="shared" ref="D39:F39" si="37">SUM(D38,D34,D30,D26,D22)</f>
        <v>0</v>
      </c>
      <c r="E39" s="399">
        <f t="shared" si="37"/>
        <v>0</v>
      </c>
      <c r="F39" s="399">
        <f t="shared" si="37"/>
        <v>0</v>
      </c>
      <c r="G39" s="399">
        <f t="shared" si="3"/>
        <v>0</v>
      </c>
    </row>
    <row r="40" spans="1:8" hidden="1" x14ac:dyDescent="0.25">
      <c r="A40" s="85" t="s">
        <v>528</v>
      </c>
      <c r="B40" s="351"/>
      <c r="C40" s="321">
        <f>SUM(C19,C23,C27,C31,C35)</f>
        <v>0</v>
      </c>
      <c r="D40" s="321">
        <f t="shared" ref="D40:F40" si="38">SUM(D19,D23,D27,D31,D35)</f>
        <v>0</v>
      </c>
      <c r="E40" s="321">
        <f t="shared" si="38"/>
        <v>0</v>
      </c>
      <c r="F40" s="321">
        <f t="shared" si="38"/>
        <v>0</v>
      </c>
      <c r="G40" s="322">
        <f>SUM(B40:F40)</f>
        <v>0</v>
      </c>
      <c r="H40" s="322">
        <f>SUM(C40:G40)</f>
        <v>0</v>
      </c>
    </row>
    <row r="41" spans="1:8" hidden="1" x14ac:dyDescent="0.25">
      <c r="A41" s="85" t="s">
        <v>526</v>
      </c>
      <c r="B41" s="351"/>
      <c r="C41" s="321">
        <f>SUM(C20,C24,C28,C32,C36)</f>
        <v>0</v>
      </c>
      <c r="D41" s="321">
        <f t="shared" ref="D41:F41" si="39">SUM(D20,D24,D28,D32,D36)</f>
        <v>0</v>
      </c>
      <c r="E41" s="321">
        <f t="shared" si="39"/>
        <v>0</v>
      </c>
      <c r="F41" s="321">
        <f t="shared" si="39"/>
        <v>0</v>
      </c>
      <c r="G41" s="322">
        <f t="shared" ref="G41:H42" si="40">SUM(B41:F41)</f>
        <v>0</v>
      </c>
      <c r="H41" s="322">
        <f t="shared" si="40"/>
        <v>0</v>
      </c>
    </row>
    <row r="42" spans="1:8" hidden="1" x14ac:dyDescent="0.25">
      <c r="A42" s="85" t="s">
        <v>446</v>
      </c>
      <c r="B42" s="351"/>
      <c r="C42" s="321">
        <f>SUM(C21,C25,C29,C33,C37)</f>
        <v>0</v>
      </c>
      <c r="D42" s="321">
        <f t="shared" ref="D42:F42" si="41">SUM(D21,D25,D29,D33,D37)</f>
        <v>0</v>
      </c>
      <c r="E42" s="321">
        <f t="shared" si="41"/>
        <v>0</v>
      </c>
      <c r="F42" s="321">
        <f t="shared" si="41"/>
        <v>0</v>
      </c>
      <c r="G42" s="322">
        <f t="shared" si="40"/>
        <v>0</v>
      </c>
      <c r="H42" s="322">
        <f t="shared" si="40"/>
        <v>0</v>
      </c>
    </row>
    <row r="43" spans="1:8" ht="15.75" thickBot="1" x14ac:dyDescent="0.3">
      <c r="A43" s="107"/>
      <c r="B43" s="106"/>
      <c r="C43" s="106"/>
      <c r="D43" s="106"/>
      <c r="E43" s="106"/>
      <c r="F43" s="106"/>
      <c r="G43" s="106"/>
    </row>
    <row r="44" spans="1:8" ht="18.75" x14ac:dyDescent="0.3">
      <c r="B44" s="211" t="s">
        <v>259</v>
      </c>
      <c r="C44" s="74"/>
      <c r="D44" s="86" t="s">
        <v>109</v>
      </c>
      <c r="E44" s="6" t="s">
        <v>110</v>
      </c>
      <c r="F44" s="86" t="s">
        <v>111</v>
      </c>
      <c r="G44" s="86" t="s">
        <v>112</v>
      </c>
    </row>
    <row r="45" spans="1:8" x14ac:dyDescent="0.25">
      <c r="B45" s="87"/>
      <c r="D45" s="400" t="s">
        <v>117</v>
      </c>
      <c r="E45" s="101" t="s">
        <v>125</v>
      </c>
      <c r="F45" s="400" t="s">
        <v>219</v>
      </c>
      <c r="G45" s="400" t="s">
        <v>351</v>
      </c>
    </row>
    <row r="46" spans="1:8" ht="23.25" customHeight="1" thickBot="1" x14ac:dyDescent="0.3">
      <c r="B46" s="103" t="s">
        <v>258</v>
      </c>
      <c r="C46" s="53" t="s">
        <v>250</v>
      </c>
      <c r="D46" s="104" t="s">
        <v>192</v>
      </c>
      <c r="E46" s="401" t="s">
        <v>192</v>
      </c>
      <c r="F46" s="104" t="s">
        <v>192</v>
      </c>
      <c r="G46" s="104" t="s">
        <v>192</v>
      </c>
    </row>
    <row r="47" spans="1:8" x14ac:dyDescent="0.25">
      <c r="B47" s="55" t="str">
        <f>A9</f>
        <v>Off-scale member 1</v>
      </c>
      <c r="C47" s="212">
        <v>1</v>
      </c>
      <c r="D47" s="213">
        <v>12</v>
      </c>
      <c r="E47" s="213">
        <v>12</v>
      </c>
      <c r="F47" s="213">
        <v>12</v>
      </c>
      <c r="G47" s="213">
        <v>12</v>
      </c>
    </row>
    <row r="48" spans="1:8" x14ac:dyDescent="0.25">
      <c r="B48" s="55" t="str">
        <f>A10</f>
        <v>Off-scale member 2</v>
      </c>
      <c r="C48" s="167">
        <v>1</v>
      </c>
      <c r="D48" s="213">
        <v>12</v>
      </c>
      <c r="E48" s="213">
        <v>12</v>
      </c>
      <c r="F48" s="213">
        <v>12</v>
      </c>
      <c r="G48" s="213">
        <v>12</v>
      </c>
    </row>
    <row r="49" spans="1:7" x14ac:dyDescent="0.25">
      <c r="B49" s="55" t="str">
        <f>A11</f>
        <v>Off-scale member 3</v>
      </c>
      <c r="C49" s="167">
        <v>1</v>
      </c>
      <c r="D49" s="213">
        <v>12</v>
      </c>
      <c r="E49" s="213">
        <v>12</v>
      </c>
      <c r="F49" s="213">
        <v>12</v>
      </c>
      <c r="G49" s="213">
        <v>12</v>
      </c>
    </row>
    <row r="50" spans="1:7" x14ac:dyDescent="0.25">
      <c r="B50" s="55" t="str">
        <f>A12</f>
        <v>Off-scale member 4</v>
      </c>
      <c r="C50" s="167">
        <v>1</v>
      </c>
      <c r="D50" s="213">
        <v>12</v>
      </c>
      <c r="E50" s="213">
        <v>12</v>
      </c>
      <c r="F50" s="213">
        <v>12</v>
      </c>
      <c r="G50" s="213">
        <v>12</v>
      </c>
    </row>
    <row r="51" spans="1:7" ht="15.75" thickBot="1" x14ac:dyDescent="0.3">
      <c r="B51" s="67" t="str">
        <f>A13</f>
        <v>Off-scale member 5</v>
      </c>
      <c r="C51" s="168">
        <v>1</v>
      </c>
      <c r="D51" s="214">
        <v>12</v>
      </c>
      <c r="E51" s="214">
        <v>12</v>
      </c>
      <c r="F51" s="214">
        <v>12</v>
      </c>
      <c r="G51" s="214">
        <v>12</v>
      </c>
    </row>
    <row r="52" spans="1:7" x14ac:dyDescent="0.25">
      <c r="B52" s="106"/>
      <c r="C52" s="106"/>
      <c r="D52" s="106"/>
      <c r="E52" s="106"/>
      <c r="F52" s="106"/>
      <c r="G52" s="106"/>
    </row>
    <row r="53" spans="1:7" x14ac:dyDescent="0.25">
      <c r="B53" s="106"/>
      <c r="C53" s="106"/>
      <c r="D53" s="106"/>
      <c r="E53" s="106"/>
      <c r="F53" s="106"/>
      <c r="G53" s="106"/>
    </row>
    <row r="54" spans="1:7" x14ac:dyDescent="0.25">
      <c r="B54" s="106"/>
      <c r="C54" s="106"/>
      <c r="D54" s="106"/>
      <c r="E54" s="106"/>
      <c r="F54" s="106"/>
      <c r="G54" s="106"/>
    </row>
    <row r="55" spans="1:7" x14ac:dyDescent="0.25">
      <c r="B55" s="106"/>
      <c r="C55" s="106"/>
      <c r="D55" s="106"/>
      <c r="E55" s="106"/>
      <c r="F55" s="106"/>
      <c r="G55" s="106"/>
    </row>
    <row r="56" spans="1:7" ht="30.75" customHeight="1" x14ac:dyDescent="0.25">
      <c r="B56" s="106"/>
      <c r="C56" s="106"/>
      <c r="D56" s="106"/>
      <c r="E56" s="106"/>
      <c r="F56" s="106"/>
      <c r="G56" s="106"/>
    </row>
    <row r="57" spans="1:7" ht="39.75" customHeight="1" x14ac:dyDescent="0.25">
      <c r="B57" s="106"/>
      <c r="C57" s="106"/>
      <c r="D57" s="106"/>
      <c r="E57" s="106"/>
      <c r="F57" s="106"/>
      <c r="G57" s="106"/>
    </row>
    <row r="58" spans="1:7" ht="38.25" customHeight="1" x14ac:dyDescent="0.25">
      <c r="B58" s="106"/>
      <c r="C58" s="106"/>
      <c r="D58" s="106"/>
      <c r="E58" s="106"/>
      <c r="F58" s="106"/>
      <c r="G58" s="106"/>
    </row>
    <row r="59" spans="1:7" ht="0.75" customHeight="1" x14ac:dyDescent="0.25">
      <c r="B59" s="106"/>
      <c r="C59" s="106"/>
      <c r="D59" s="106"/>
      <c r="E59" s="106"/>
      <c r="F59" s="106"/>
      <c r="G59" s="106"/>
    </row>
    <row r="60" spans="1:7" ht="3" customHeight="1" x14ac:dyDescent="0.25">
      <c r="B60" s="106"/>
      <c r="C60" s="106"/>
      <c r="D60" s="106"/>
      <c r="E60" s="106"/>
      <c r="F60" s="106"/>
      <c r="G60" s="106"/>
    </row>
    <row r="61" spans="1:7" ht="1.5" customHeight="1" x14ac:dyDescent="0.25"/>
    <row r="63" spans="1:7" hidden="1" x14ac:dyDescent="0.25">
      <c r="A63" t="s">
        <v>109</v>
      </c>
    </row>
    <row r="64" spans="1:7" hidden="1" x14ac:dyDescent="0.25">
      <c r="A64" t="s">
        <v>460</v>
      </c>
    </row>
    <row r="65" spans="1:6" hidden="1" x14ac:dyDescent="0.25">
      <c r="A65" s="269"/>
      <c r="B65" s="270" t="s">
        <v>461</v>
      </c>
      <c r="C65" s="270" t="s">
        <v>3</v>
      </c>
      <c r="D65" s="270" t="s">
        <v>462</v>
      </c>
      <c r="E65" s="270" t="s">
        <v>463</v>
      </c>
      <c r="F65" s="281" t="s">
        <v>12</v>
      </c>
    </row>
    <row r="66" spans="1:6" hidden="1" x14ac:dyDescent="0.25">
      <c r="A66" s="269" t="s">
        <v>480</v>
      </c>
      <c r="B66" s="278">
        <f>C39</f>
        <v>0</v>
      </c>
      <c r="C66" s="276">
        <f>B66/'1B Salary scales -UCD Admin'!$J$2*'1B Salary scales -UCD Admin'!$F$2</f>
        <v>0</v>
      </c>
      <c r="D66" s="276">
        <f>B66/'1B Salary scales -UCD Admin'!$J$2</f>
        <v>0</v>
      </c>
      <c r="E66" s="276">
        <f>B66/'1B Salary scales -UCD Admin'!$J$2*'1B Salary scales -UCD Admin'!$F$3</f>
        <v>0</v>
      </c>
      <c r="F66" s="282">
        <f>SUM(C66:E66)</f>
        <v>0</v>
      </c>
    </row>
    <row r="67" spans="1:6" ht="15.75" hidden="1" thickBot="1" x14ac:dyDescent="0.3">
      <c r="A67" s="272" t="s">
        <v>191</v>
      </c>
      <c r="B67" s="279">
        <f>Q39</f>
        <v>0</v>
      </c>
      <c r="C67" s="276" t="s">
        <v>191</v>
      </c>
      <c r="D67" s="277" t="s">
        <v>191</v>
      </c>
      <c r="E67" s="273"/>
      <c r="F67" s="282">
        <f>B67</f>
        <v>0</v>
      </c>
    </row>
    <row r="68" spans="1:6" hidden="1" x14ac:dyDescent="0.25">
      <c r="A68" s="275" t="s">
        <v>12</v>
      </c>
      <c r="B68" s="280">
        <f>SUM(B66:B67)</f>
        <v>0</v>
      </c>
      <c r="C68" s="280">
        <f>SUM(C66:C67)</f>
        <v>0</v>
      </c>
      <c r="D68" s="280">
        <f>SUM(D66:D67)</f>
        <v>0</v>
      </c>
      <c r="E68" s="280">
        <f>SUM(E66:E67)</f>
        <v>0</v>
      </c>
      <c r="F68" s="280">
        <f>SUM(F66:F67)</f>
        <v>0</v>
      </c>
    </row>
    <row r="69" spans="1:6" hidden="1" x14ac:dyDescent="0.25">
      <c r="A69" s="268"/>
      <c r="B69" s="268"/>
      <c r="C69" s="268"/>
      <c r="D69" s="268"/>
      <c r="E69" s="268"/>
      <c r="F69" s="268"/>
    </row>
    <row r="70" spans="1:6" hidden="1" x14ac:dyDescent="0.25">
      <c r="A70" t="s">
        <v>110</v>
      </c>
    </row>
    <row r="71" spans="1:6" hidden="1" x14ac:dyDescent="0.25">
      <c r="A71" t="s">
        <v>460</v>
      </c>
    </row>
    <row r="72" spans="1:6" hidden="1" x14ac:dyDescent="0.25">
      <c r="A72" s="269"/>
      <c r="B72" s="270" t="s">
        <v>461</v>
      </c>
      <c r="C72" s="270" t="s">
        <v>3</v>
      </c>
      <c r="D72" s="270" t="s">
        <v>462</v>
      </c>
      <c r="E72" s="270" t="s">
        <v>463</v>
      </c>
      <c r="F72" s="281" t="s">
        <v>12</v>
      </c>
    </row>
    <row r="73" spans="1:6" hidden="1" x14ac:dyDescent="0.25">
      <c r="A73" s="269" t="s">
        <v>480</v>
      </c>
      <c r="B73" s="278">
        <f>D39</f>
        <v>0</v>
      </c>
      <c r="C73" s="276">
        <f>B73/'1B Salary scales -UCD Admin'!$J$2*'1B Salary scales -UCD Admin'!$F$2</f>
        <v>0</v>
      </c>
      <c r="D73" s="276">
        <f>B73/'1B Salary scales -UCD Admin'!$J$2</f>
        <v>0</v>
      </c>
      <c r="E73" s="276">
        <f>B73/'1B Salary scales -UCD Admin'!$J$2*'1B Salary scales -UCD Admin'!$F$3</f>
        <v>0</v>
      </c>
      <c r="F73" s="282">
        <f>SUM(C73:E73)</f>
        <v>0</v>
      </c>
    </row>
    <row r="74" spans="1:6" ht="15.75" hidden="1" thickBot="1" x14ac:dyDescent="0.3">
      <c r="A74" s="272" t="s">
        <v>191</v>
      </c>
      <c r="B74" s="279">
        <f>T39</f>
        <v>0</v>
      </c>
      <c r="C74" s="276" t="s">
        <v>191</v>
      </c>
      <c r="D74" s="277" t="s">
        <v>191</v>
      </c>
      <c r="E74" s="273"/>
      <c r="F74" s="282">
        <f>B74</f>
        <v>0</v>
      </c>
    </row>
    <row r="75" spans="1:6" hidden="1" x14ac:dyDescent="0.25">
      <c r="A75" s="275" t="s">
        <v>12</v>
      </c>
      <c r="B75" s="280">
        <f>SUM(B73:B74)</f>
        <v>0</v>
      </c>
      <c r="C75" s="280">
        <f>SUM(C73:C74)</f>
        <v>0</v>
      </c>
      <c r="D75" s="280">
        <f>SUM(D73:D74)</f>
        <v>0</v>
      </c>
      <c r="E75" s="280">
        <f>SUM(E73:E74)</f>
        <v>0</v>
      </c>
      <c r="F75" s="280">
        <f>SUM(F73:F74)</f>
        <v>0</v>
      </c>
    </row>
    <row r="76" spans="1:6" hidden="1" x14ac:dyDescent="0.25"/>
    <row r="77" spans="1:6" hidden="1" x14ac:dyDescent="0.25">
      <c r="A77" t="s">
        <v>111</v>
      </c>
    </row>
    <row r="78" spans="1:6" hidden="1" x14ac:dyDescent="0.25">
      <c r="A78" t="s">
        <v>460</v>
      </c>
    </row>
    <row r="79" spans="1:6" hidden="1" x14ac:dyDescent="0.25">
      <c r="A79" s="269"/>
      <c r="B79" s="270" t="s">
        <v>461</v>
      </c>
      <c r="C79" s="270" t="s">
        <v>3</v>
      </c>
      <c r="D79" s="270" t="s">
        <v>462</v>
      </c>
      <c r="E79" s="270" t="s">
        <v>463</v>
      </c>
      <c r="F79" s="281" t="s">
        <v>12</v>
      </c>
    </row>
    <row r="80" spans="1:6" hidden="1" x14ac:dyDescent="0.25">
      <c r="A80" s="269" t="s">
        <v>480</v>
      </c>
      <c r="B80" s="278">
        <f>E39</f>
        <v>0</v>
      </c>
      <c r="C80" s="276">
        <f>B80/'1B Salary scales -UCD Admin'!$J$2*'1B Salary scales -UCD Admin'!$F$2</f>
        <v>0</v>
      </c>
      <c r="D80" s="276">
        <f>B80/'1B Salary scales -UCD Admin'!$J$2</f>
        <v>0</v>
      </c>
      <c r="E80" s="276">
        <f>B80/'1B Salary scales -UCD Admin'!$J$2*'1B Salary scales -UCD Admin'!$F$3</f>
        <v>0</v>
      </c>
      <c r="F80" s="282">
        <f>SUM(C80:E80)</f>
        <v>0</v>
      </c>
    </row>
    <row r="81" spans="1:6" ht="15.75" hidden="1" thickBot="1" x14ac:dyDescent="0.3">
      <c r="A81" s="272" t="s">
        <v>191</v>
      </c>
      <c r="B81" s="279">
        <f>W39</f>
        <v>0</v>
      </c>
      <c r="C81" s="276" t="s">
        <v>191</v>
      </c>
      <c r="D81" s="277" t="s">
        <v>191</v>
      </c>
      <c r="E81" s="273"/>
      <c r="F81" s="282">
        <f>B81</f>
        <v>0</v>
      </c>
    </row>
    <row r="82" spans="1:6" hidden="1" x14ac:dyDescent="0.25">
      <c r="A82" s="275" t="s">
        <v>12</v>
      </c>
      <c r="B82" s="280">
        <f>SUM(B80:B81)</f>
        <v>0</v>
      </c>
      <c r="C82" s="280">
        <f>SUM(C80:C81)</f>
        <v>0</v>
      </c>
      <c r="D82" s="280">
        <f>SUM(D80:D81)</f>
        <v>0</v>
      </c>
      <c r="E82" s="280">
        <f>SUM(E80:E81)</f>
        <v>0</v>
      </c>
      <c r="F82" s="280">
        <f>SUM(F80:F81)</f>
        <v>0</v>
      </c>
    </row>
    <row r="83" spans="1:6" hidden="1" x14ac:dyDescent="0.25"/>
    <row r="84" spans="1:6" hidden="1" x14ac:dyDescent="0.25"/>
    <row r="85" spans="1:6" hidden="1" x14ac:dyDescent="0.25">
      <c r="A85" t="s">
        <v>112</v>
      </c>
    </row>
    <row r="86" spans="1:6" hidden="1" x14ac:dyDescent="0.25">
      <c r="A86" t="s">
        <v>460</v>
      </c>
    </row>
    <row r="87" spans="1:6" hidden="1" x14ac:dyDescent="0.25">
      <c r="A87" s="269"/>
      <c r="B87" s="270" t="s">
        <v>461</v>
      </c>
      <c r="C87" s="270" t="s">
        <v>3</v>
      </c>
      <c r="D87" s="270" t="s">
        <v>462</v>
      </c>
      <c r="E87" s="270" t="s">
        <v>463</v>
      </c>
      <c r="F87" s="281" t="s">
        <v>12</v>
      </c>
    </row>
    <row r="88" spans="1:6" hidden="1" x14ac:dyDescent="0.25">
      <c r="A88" s="269" t="s">
        <v>480</v>
      </c>
      <c r="B88" s="278">
        <f>F39</f>
        <v>0</v>
      </c>
      <c r="C88" s="276">
        <f>B88/'1B Salary scales -UCD Admin'!$J$2*'1B Salary scales -UCD Admin'!$F$2</f>
        <v>0</v>
      </c>
      <c r="D88" s="276">
        <f>B88/'1B Salary scales -UCD Admin'!$J$2</f>
        <v>0</v>
      </c>
      <c r="E88" s="276">
        <f>B88/'1B Salary scales -UCD Admin'!$J$2*'1B Salary scales -UCD Admin'!$F$3</f>
        <v>0</v>
      </c>
      <c r="F88" s="282">
        <f>SUM(C88:E88)</f>
        <v>0</v>
      </c>
    </row>
    <row r="89" spans="1:6" ht="15.75" hidden="1" thickBot="1" x14ac:dyDescent="0.3">
      <c r="A89" s="272" t="s">
        <v>191</v>
      </c>
      <c r="B89" s="279">
        <f>Z39</f>
        <v>0</v>
      </c>
      <c r="C89" s="276" t="s">
        <v>191</v>
      </c>
      <c r="D89" s="277" t="s">
        <v>191</v>
      </c>
      <c r="E89" s="273"/>
      <c r="F89" s="282">
        <f>B89</f>
        <v>0</v>
      </c>
    </row>
    <row r="90" spans="1:6" hidden="1" x14ac:dyDescent="0.25">
      <c r="A90" s="275" t="s">
        <v>12</v>
      </c>
      <c r="B90" s="280">
        <f>SUM(B88:B89)</f>
        <v>0</v>
      </c>
      <c r="C90" s="280">
        <f>SUM(C88:C89)</f>
        <v>0</v>
      </c>
      <c r="D90" s="280">
        <f>SUM(D88:D89)</f>
        <v>0</v>
      </c>
      <c r="E90" s="280">
        <f>SUM(E88:E89)</f>
        <v>0</v>
      </c>
      <c r="F90" s="280">
        <f>SUM(F88:F89)</f>
        <v>0</v>
      </c>
    </row>
    <row r="91" spans="1:6" hidden="1" x14ac:dyDescent="0.25"/>
    <row r="92" spans="1:6" hidden="1" x14ac:dyDescent="0.25"/>
    <row r="93" spans="1:6" hidden="1" x14ac:dyDescent="0.25">
      <c r="A93" t="s">
        <v>194</v>
      </c>
    </row>
    <row r="94" spans="1:6" hidden="1" x14ac:dyDescent="0.25">
      <c r="A94" t="s">
        <v>460</v>
      </c>
    </row>
    <row r="95" spans="1:6" hidden="1" x14ac:dyDescent="0.25">
      <c r="A95" s="269"/>
      <c r="B95" s="270" t="s">
        <v>461</v>
      </c>
      <c r="C95" s="270" t="s">
        <v>3</v>
      </c>
      <c r="D95" s="270" t="s">
        <v>462</v>
      </c>
      <c r="E95" s="270" t="s">
        <v>463</v>
      </c>
      <c r="F95" s="281" t="s">
        <v>12</v>
      </c>
    </row>
    <row r="96" spans="1:6" hidden="1" x14ac:dyDescent="0.25">
      <c r="A96" s="269" t="s">
        <v>480</v>
      </c>
      <c r="B96" s="278">
        <f>G39</f>
        <v>0</v>
      </c>
      <c r="C96" s="276">
        <f>B96/'1B Salary scales -UCD Admin'!$J$2*'1B Salary scales -UCD Admin'!$F$2</f>
        <v>0</v>
      </c>
      <c r="D96" s="276">
        <f>B96/'1B Salary scales -UCD Admin'!$J$2</f>
        <v>0</v>
      </c>
      <c r="E96" s="276">
        <f>B96/'1B Salary scales -UCD Admin'!$J$2*'1B Salary scales -UCD Admin'!$F$3</f>
        <v>0</v>
      </c>
      <c r="F96" s="282">
        <f>SUM(C96:E96)</f>
        <v>0</v>
      </c>
    </row>
    <row r="97" spans="1:6" ht="15.75" hidden="1" thickBot="1" x14ac:dyDescent="0.3">
      <c r="A97" s="272" t="s">
        <v>191</v>
      </c>
      <c r="B97" s="279">
        <f>AC39</f>
        <v>0</v>
      </c>
      <c r="C97" s="276" t="s">
        <v>191</v>
      </c>
      <c r="D97" s="277" t="s">
        <v>191</v>
      </c>
      <c r="E97" s="273"/>
      <c r="F97" s="282">
        <f>B97</f>
        <v>0</v>
      </c>
    </row>
    <row r="98" spans="1:6" hidden="1" x14ac:dyDescent="0.25">
      <c r="A98" s="275" t="s">
        <v>12</v>
      </c>
      <c r="B98" s="280">
        <f>SUM(B96:B97)</f>
        <v>0</v>
      </c>
      <c r="C98" s="280">
        <f>SUM(C96:C97)</f>
        <v>0</v>
      </c>
      <c r="D98" s="280">
        <f>SUM(D96:D97)</f>
        <v>0</v>
      </c>
      <c r="E98" s="280">
        <f>SUM(E96:E97)</f>
        <v>0</v>
      </c>
      <c r="F98" s="280">
        <f>SUM(F96:F97)</f>
        <v>0</v>
      </c>
    </row>
    <row r="99" spans="1:6" hidden="1" x14ac:dyDescent="0.25"/>
  </sheetData>
  <mergeCells count="6">
    <mergeCell ref="A35:A38"/>
    <mergeCell ref="A4:B4"/>
    <mergeCell ref="A19:A22"/>
    <mergeCell ref="A23:A26"/>
    <mergeCell ref="A27:A30"/>
    <mergeCell ref="A31:A34"/>
  </mergeCells>
  <dataValidations xWindow="1095" yWindow="419" count="3">
    <dataValidation allowBlank="1" showInputMessage="1" showErrorMessage="1" promptTitle="Not working full-time? " prompt="This template assumes that your team member is working full-time on the project. If this is not the case, then you need to manually insert the FTE (full time equivalent) per centage in this cell e.g., if only working 2 days per week = 40%." sqref="C47:C51" xr:uid="{DB0036E1-99CB-4913-B50D-467E63D2D53F}"/>
    <dataValidation type="whole" allowBlank="1" showInputMessage="1" showErrorMessage="1" error="Number of months must be between 0 - 12." sqref="D47:G51" xr:uid="{F14E2593-2B18-4A8B-8725-29B59EA7808A}">
      <formula1>0</formula1>
      <formula2>12</formula2>
    </dataValidation>
    <dataValidation allowBlank="1" showInputMessage="1" showErrorMessage="1" promptTitle="DO NOT INPUT DATA" prompt="These cells are auto-populated. Do not enter data. " sqref="H9:H13 C39:F42 G19:G42 H40:H42" xr:uid="{3FAEF030-4707-4409-9F35-49007B8D6E9E}"/>
  </dataValidations>
  <pageMargins left="0.70866141732283472" right="0.70866141732283472" top="0.74803149606299213" bottom="0.74803149606299213" header="0.31496062992125984" footer="0.31496062992125984"/>
  <pageSetup scale="47" orientation="portrait" horizontalDpi="4294967293"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7332-3BF9-4BEA-8FF6-9933D145457E}">
  <sheetPr>
    <tabColor rgb="FF00B050"/>
    <pageSetUpPr fitToPage="1"/>
  </sheetPr>
  <dimension ref="A1:J39"/>
  <sheetViews>
    <sheetView view="pageBreakPreview" zoomScaleNormal="100" zoomScaleSheetLayoutView="100" workbookViewId="0">
      <selection activeCell="C5" sqref="C5"/>
    </sheetView>
  </sheetViews>
  <sheetFormatPr defaultRowHeight="15" x14ac:dyDescent="0.25"/>
  <cols>
    <col min="1" max="1" width="7.85546875" customWidth="1"/>
    <col min="2" max="2" width="55.85546875" customWidth="1"/>
    <col min="3" max="3" width="41.5703125" bestFit="1" customWidth="1"/>
    <col min="4" max="5" width="12.42578125" bestFit="1" customWidth="1"/>
    <col min="6" max="6" width="12.42578125" customWidth="1"/>
    <col min="7" max="7" width="12.42578125" bestFit="1" customWidth="1"/>
    <col min="8" max="9" width="12.42578125" hidden="1" customWidth="1"/>
    <col min="10" max="10" width="15.140625" customWidth="1"/>
  </cols>
  <sheetData>
    <row r="1" spans="1:10" ht="24" thickBot="1" x14ac:dyDescent="0.4">
      <c r="A1" s="471" t="s">
        <v>529</v>
      </c>
      <c r="B1" s="471"/>
      <c r="C1" s="471"/>
      <c r="D1" s="471"/>
      <c r="E1" s="471"/>
      <c r="F1" s="471"/>
      <c r="G1" s="471"/>
      <c r="H1" s="471"/>
      <c r="I1" s="471"/>
      <c r="J1" s="471"/>
    </row>
    <row r="2" spans="1:10" ht="19.5" hidden="1" thickBot="1" x14ac:dyDescent="0.35">
      <c r="A2" s="110" t="s">
        <v>530</v>
      </c>
      <c r="B2" s="112"/>
      <c r="C2" s="112"/>
      <c r="D2" s="106"/>
      <c r="E2" s="106"/>
      <c r="F2" s="106"/>
      <c r="G2" s="106"/>
      <c r="H2" s="106"/>
      <c r="I2" s="106"/>
      <c r="J2" s="106"/>
    </row>
    <row r="3" spans="1:10" ht="15.75" hidden="1" thickBot="1" x14ac:dyDescent="0.3">
      <c r="A3" s="106"/>
      <c r="B3" s="106"/>
      <c r="C3" s="106"/>
      <c r="D3" s="106"/>
      <c r="E3" s="106"/>
      <c r="F3" s="106"/>
      <c r="G3" s="106"/>
      <c r="H3" s="106"/>
      <c r="I3" s="106"/>
      <c r="J3" s="106"/>
    </row>
    <row r="4" spans="1:10" x14ac:dyDescent="0.25">
      <c r="A4" s="102"/>
      <c r="B4" s="74"/>
      <c r="C4" s="74"/>
      <c r="D4" s="6" t="s">
        <v>109</v>
      </c>
      <c r="E4" s="6" t="s">
        <v>110</v>
      </c>
      <c r="F4" s="6" t="s">
        <v>111</v>
      </c>
      <c r="G4" s="6" t="s">
        <v>112</v>
      </c>
      <c r="H4" s="6" t="s">
        <v>112</v>
      </c>
      <c r="I4" s="6" t="s">
        <v>194</v>
      </c>
      <c r="J4" s="59"/>
    </row>
    <row r="5" spans="1:10" x14ac:dyDescent="0.25">
      <c r="A5" s="55"/>
      <c r="D5" s="101" t="s">
        <v>117</v>
      </c>
      <c r="E5" s="101" t="s">
        <v>125</v>
      </c>
      <c r="F5" s="101" t="s">
        <v>219</v>
      </c>
      <c r="G5" s="101" t="s">
        <v>351</v>
      </c>
      <c r="H5" s="101" t="s">
        <v>219</v>
      </c>
      <c r="I5" s="101" t="s">
        <v>351</v>
      </c>
      <c r="J5" s="61" t="s">
        <v>12</v>
      </c>
    </row>
    <row r="6" spans="1:10" x14ac:dyDescent="0.25">
      <c r="A6" s="55"/>
      <c r="D6" s="3" t="s">
        <v>243</v>
      </c>
      <c r="E6" s="3" t="s">
        <v>243</v>
      </c>
      <c r="F6" s="3" t="s">
        <v>243</v>
      </c>
      <c r="G6" s="3" t="s">
        <v>243</v>
      </c>
      <c r="H6" s="3" t="s">
        <v>243</v>
      </c>
      <c r="I6" s="3" t="s">
        <v>243</v>
      </c>
      <c r="J6" s="61"/>
    </row>
    <row r="7" spans="1:10" x14ac:dyDescent="0.25">
      <c r="A7" s="63" t="s">
        <v>531</v>
      </c>
      <c r="B7" s="45"/>
      <c r="C7" s="45"/>
      <c r="D7" s="46" t="s">
        <v>5</v>
      </c>
      <c r="E7" s="46" t="s">
        <v>5</v>
      </c>
      <c r="F7" s="46" t="s">
        <v>5</v>
      </c>
      <c r="G7" s="46" t="s">
        <v>5</v>
      </c>
      <c r="H7" s="46" t="s">
        <v>5</v>
      </c>
      <c r="I7" s="46" t="s">
        <v>5</v>
      </c>
      <c r="J7" s="113" t="s">
        <v>6</v>
      </c>
    </row>
    <row r="8" spans="1:10" x14ac:dyDescent="0.25">
      <c r="A8" s="111" t="s">
        <v>135</v>
      </c>
      <c r="B8" s="51" t="s">
        <v>532</v>
      </c>
      <c r="C8" s="51" t="s">
        <v>569</v>
      </c>
      <c r="D8" s="3"/>
      <c r="E8" s="3"/>
      <c r="F8" s="3"/>
      <c r="G8" s="3"/>
      <c r="H8" s="3"/>
      <c r="I8" s="3"/>
      <c r="J8" s="113"/>
    </row>
    <row r="9" spans="1:10" x14ac:dyDescent="0.25">
      <c r="A9" s="55" t="s">
        <v>136</v>
      </c>
      <c r="B9" s="169" t="s">
        <v>233</v>
      </c>
      <c r="C9" s="233"/>
      <c r="D9" s="222">
        <v>0</v>
      </c>
      <c r="E9" s="222">
        <v>0</v>
      </c>
      <c r="F9" s="222">
        <v>0</v>
      </c>
      <c r="G9" s="222">
        <v>0</v>
      </c>
      <c r="H9" s="354"/>
      <c r="I9" s="354"/>
      <c r="J9" s="56">
        <f>SUM(D9:I9)</f>
        <v>0</v>
      </c>
    </row>
    <row r="10" spans="1:10" x14ac:dyDescent="0.25">
      <c r="A10" s="55" t="s">
        <v>137</v>
      </c>
      <c r="B10" s="169" t="s">
        <v>233</v>
      </c>
      <c r="C10" s="233"/>
      <c r="D10" s="222"/>
      <c r="E10" s="222"/>
      <c r="F10" s="222"/>
      <c r="G10" s="222"/>
      <c r="H10" s="354"/>
      <c r="I10" s="354"/>
      <c r="J10" s="56">
        <f t="shared" ref="J10:J20" si="0">SUM(D10:I10)</f>
        <v>0</v>
      </c>
    </row>
    <row r="11" spans="1:10" x14ac:dyDescent="0.25">
      <c r="A11" s="55" t="s">
        <v>138</v>
      </c>
      <c r="B11" s="169" t="s">
        <v>233</v>
      </c>
      <c r="C11" s="233"/>
      <c r="D11" s="222"/>
      <c r="E11" s="222"/>
      <c r="F11" s="222"/>
      <c r="G11" s="222"/>
      <c r="H11" s="354"/>
      <c r="I11" s="354"/>
      <c r="J11" s="56">
        <f t="shared" si="0"/>
        <v>0</v>
      </c>
    </row>
    <row r="12" spans="1:10" x14ac:dyDescent="0.25">
      <c r="A12" s="55" t="s">
        <v>139</v>
      </c>
      <c r="B12" s="169" t="s">
        <v>233</v>
      </c>
      <c r="C12" s="233"/>
      <c r="D12" s="222"/>
      <c r="E12" s="222"/>
      <c r="F12" s="222"/>
      <c r="G12" s="222"/>
      <c r="H12" s="354"/>
      <c r="I12" s="354"/>
      <c r="J12" s="56">
        <f t="shared" si="0"/>
        <v>0</v>
      </c>
    </row>
    <row r="13" spans="1:10" x14ac:dyDescent="0.25">
      <c r="A13" s="55" t="s">
        <v>140</v>
      </c>
      <c r="B13" s="169" t="s">
        <v>233</v>
      </c>
      <c r="C13" s="233"/>
      <c r="D13" s="222"/>
      <c r="E13" s="222"/>
      <c r="F13" s="222"/>
      <c r="G13" s="222"/>
      <c r="H13" s="354"/>
      <c r="I13" s="354"/>
      <c r="J13" s="56">
        <f t="shared" si="0"/>
        <v>0</v>
      </c>
    </row>
    <row r="14" spans="1:10" x14ac:dyDescent="0.25">
      <c r="A14" s="55" t="s">
        <v>141</v>
      </c>
      <c r="B14" s="169" t="s">
        <v>233</v>
      </c>
      <c r="C14" s="233"/>
      <c r="D14" s="222"/>
      <c r="E14" s="222"/>
      <c r="F14" s="222"/>
      <c r="G14" s="222"/>
      <c r="H14" s="354"/>
      <c r="I14" s="354"/>
      <c r="J14" s="56">
        <f t="shared" si="0"/>
        <v>0</v>
      </c>
    </row>
    <row r="15" spans="1:10" x14ac:dyDescent="0.25">
      <c r="A15" s="55" t="s">
        <v>142</v>
      </c>
      <c r="B15" s="169" t="s">
        <v>233</v>
      </c>
      <c r="C15" s="233"/>
      <c r="D15" s="222"/>
      <c r="E15" s="222"/>
      <c r="F15" s="222"/>
      <c r="G15" s="222"/>
      <c r="H15" s="354"/>
      <c r="I15" s="354"/>
      <c r="J15" s="56">
        <f t="shared" si="0"/>
        <v>0</v>
      </c>
    </row>
    <row r="16" spans="1:10" x14ac:dyDescent="0.25">
      <c r="A16" s="55" t="s">
        <v>143</v>
      </c>
      <c r="B16" s="169" t="s">
        <v>233</v>
      </c>
      <c r="C16" s="233"/>
      <c r="D16" s="222"/>
      <c r="E16" s="222"/>
      <c r="F16" s="222"/>
      <c r="G16" s="222"/>
      <c r="H16" s="354"/>
      <c r="I16" s="354"/>
      <c r="J16" s="56">
        <f t="shared" si="0"/>
        <v>0</v>
      </c>
    </row>
    <row r="17" spans="1:10" x14ac:dyDescent="0.25">
      <c r="A17" s="55" t="s">
        <v>144</v>
      </c>
      <c r="B17" s="169" t="s">
        <v>233</v>
      </c>
      <c r="C17" s="233"/>
      <c r="D17" s="222"/>
      <c r="E17" s="222"/>
      <c r="F17" s="222"/>
      <c r="G17" s="222"/>
      <c r="H17" s="354"/>
      <c r="I17" s="354"/>
      <c r="J17" s="56">
        <f t="shared" si="0"/>
        <v>0</v>
      </c>
    </row>
    <row r="18" spans="1:10" x14ac:dyDescent="0.25">
      <c r="A18" s="55" t="s">
        <v>145</v>
      </c>
      <c r="B18" s="169" t="s">
        <v>233</v>
      </c>
      <c r="C18" s="233"/>
      <c r="D18" s="222"/>
      <c r="E18" s="222"/>
      <c r="F18" s="222"/>
      <c r="G18" s="222"/>
      <c r="H18" s="354"/>
      <c r="I18" s="354"/>
      <c r="J18" s="56">
        <f t="shared" si="0"/>
        <v>0</v>
      </c>
    </row>
    <row r="19" spans="1:10" x14ac:dyDescent="0.25">
      <c r="A19" s="55" t="s">
        <v>146</v>
      </c>
      <c r="B19" s="169" t="s">
        <v>233</v>
      </c>
      <c r="C19" s="233"/>
      <c r="D19" s="222"/>
      <c r="E19" s="222"/>
      <c r="F19" s="222"/>
      <c r="G19" s="222"/>
      <c r="H19" s="354"/>
      <c r="I19" s="354"/>
      <c r="J19" s="56">
        <f t="shared" si="0"/>
        <v>0</v>
      </c>
    </row>
    <row r="20" spans="1:10" ht="15.75" thickBot="1" x14ac:dyDescent="0.3">
      <c r="A20" s="55" t="s">
        <v>147</v>
      </c>
      <c r="B20" s="169" t="s">
        <v>233</v>
      </c>
      <c r="C20" s="233"/>
      <c r="D20" s="222"/>
      <c r="E20" s="222"/>
      <c r="F20" s="222"/>
      <c r="G20" s="222"/>
      <c r="H20" s="354"/>
      <c r="I20" s="354"/>
      <c r="J20" s="56">
        <f t="shared" si="0"/>
        <v>0</v>
      </c>
    </row>
    <row r="21" spans="1:10" ht="15.75" thickBot="1" x14ac:dyDescent="0.3">
      <c r="A21" s="58" t="s">
        <v>533</v>
      </c>
      <c r="B21" s="114"/>
      <c r="C21" s="114"/>
      <c r="D21" s="82">
        <f>SUM(D9:D20)</f>
        <v>0</v>
      </c>
      <c r="E21" s="82">
        <f t="shared" ref="E21:J21" si="1">SUM(E9:E20)</f>
        <v>0</v>
      </c>
      <c r="F21" s="82">
        <f t="shared" si="1"/>
        <v>0</v>
      </c>
      <c r="G21" s="82">
        <f t="shared" si="1"/>
        <v>0</v>
      </c>
      <c r="H21" s="82">
        <f t="shared" si="1"/>
        <v>0</v>
      </c>
      <c r="I21" s="82">
        <f>SUM(I9:I20)</f>
        <v>0</v>
      </c>
      <c r="J21" s="57">
        <f t="shared" si="1"/>
        <v>0</v>
      </c>
    </row>
    <row r="33" spans="2:2" hidden="1" x14ac:dyDescent="0.25">
      <c r="B33" s="376" t="s">
        <v>233</v>
      </c>
    </row>
    <row r="34" spans="2:2" hidden="1" x14ac:dyDescent="0.25">
      <c r="B34" s="374" t="s">
        <v>540</v>
      </c>
    </row>
    <row r="35" spans="2:2" hidden="1" x14ac:dyDescent="0.25">
      <c r="B35" s="375" t="s">
        <v>131</v>
      </c>
    </row>
    <row r="36" spans="2:2" hidden="1" x14ac:dyDescent="0.25">
      <c r="B36" s="374" t="s">
        <v>541</v>
      </c>
    </row>
    <row r="37" spans="2:2" hidden="1" x14ac:dyDescent="0.25">
      <c r="B37" s="375" t="s">
        <v>542</v>
      </c>
    </row>
    <row r="38" spans="2:2" hidden="1" x14ac:dyDescent="0.25">
      <c r="B38" s="374" t="s">
        <v>543</v>
      </c>
    </row>
    <row r="39" spans="2:2" hidden="1" x14ac:dyDescent="0.25">
      <c r="B39" s="377" t="s">
        <v>544</v>
      </c>
    </row>
  </sheetData>
  <sheetProtection algorithmName="SHA-512" hashValue="LB8qfYeNpGTsvyfWYKNKVf+HA0TGy+UMOJ3YTL1m9lp0BJN9Eues+YiuZQJHj/R7ZgThzoaofM+knAUlG9RPfQ==" saltValue="R6XKTtJbtvC+bta04blx/g==" spinCount="100000" sheet="1" objects="1" scenarios="1"/>
  <mergeCells count="1">
    <mergeCell ref="A1:J1"/>
  </mergeCells>
  <dataValidations count="2">
    <dataValidation allowBlank="1" showInputMessage="1" showErrorMessage="1" promptTitle="DO NOT INPUT DATA!" prompt="These cells are auto-populated. Do not enter data. " sqref="J9:J21 D21:J21" xr:uid="{03EACD8D-480A-465E-BC00-86387B3A17C9}"/>
    <dataValidation type="list" allowBlank="1" showInputMessage="1" showErrorMessage="1" sqref="B9:B20" xr:uid="{D6CC6170-3974-4CA1-B7A1-DFF4BFA78EF7}">
      <formula1>$B$33:$B$39</formula1>
    </dataValidation>
  </dataValidations>
  <pageMargins left="0.70866141732283472" right="0.70866141732283472" top="0.74803149606299213" bottom="0.74803149606299213" header="0.31496062992125984" footer="0.31496062992125984"/>
  <pageSetup paperSize="9" scale="51" orientation="portrait" horizontalDpi="4294967293"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B582-11C9-4C40-A9F4-06AA5A26884B}">
  <sheetPr>
    <tabColor rgb="FF00B050"/>
  </sheetPr>
  <dimension ref="A1:J36"/>
  <sheetViews>
    <sheetView topLeftCell="A8" workbookViewId="0">
      <selection activeCell="D7" sqref="D7"/>
    </sheetView>
  </sheetViews>
  <sheetFormatPr defaultRowHeight="15" x14ac:dyDescent="0.25"/>
  <cols>
    <col min="1" max="1" width="7.85546875" customWidth="1"/>
    <col min="2" max="2" width="46.42578125" customWidth="1"/>
    <col min="3" max="3" width="41.5703125" bestFit="1" customWidth="1"/>
    <col min="4" max="7" width="12.42578125" bestFit="1" customWidth="1"/>
    <col min="8" max="9" width="12.42578125" hidden="1" customWidth="1"/>
  </cols>
  <sheetData>
    <row r="1" spans="1:10" ht="23.25" x14ac:dyDescent="0.35">
      <c r="A1" s="472" t="s">
        <v>568</v>
      </c>
      <c r="B1" s="472"/>
      <c r="C1" s="472"/>
      <c r="D1" s="472"/>
      <c r="E1" s="472"/>
      <c r="F1" s="472"/>
      <c r="G1" s="472"/>
      <c r="H1" s="472"/>
      <c r="I1" s="472"/>
      <c r="J1" s="472"/>
    </row>
    <row r="2" spans="1:10" ht="7.5" customHeight="1" x14ac:dyDescent="0.25"/>
    <row r="3" spans="1:10" ht="17.25" x14ac:dyDescent="0.3">
      <c r="A3" s="394" t="s">
        <v>566</v>
      </c>
    </row>
    <row r="4" spans="1:10" ht="9" customHeight="1" x14ac:dyDescent="0.25"/>
    <row r="5" spans="1:10" ht="15.75" x14ac:dyDescent="0.25">
      <c r="A5" s="395" t="s">
        <v>567</v>
      </c>
    </row>
    <row r="6" spans="1:10" ht="15.75" thickBot="1" x14ac:dyDescent="0.3"/>
    <row r="7" spans="1:10" x14ac:dyDescent="0.25">
      <c r="A7" s="371"/>
      <c r="B7" s="358"/>
      <c r="C7" s="358"/>
      <c r="D7" s="6" t="s">
        <v>109</v>
      </c>
      <c r="E7" s="6" t="s">
        <v>110</v>
      </c>
      <c r="F7" s="6" t="s">
        <v>111</v>
      </c>
      <c r="G7" s="6" t="s">
        <v>112</v>
      </c>
      <c r="H7" s="359" t="s">
        <v>112</v>
      </c>
      <c r="I7" s="359" t="s">
        <v>194</v>
      </c>
      <c r="J7" s="91"/>
    </row>
    <row r="8" spans="1:10" x14ac:dyDescent="0.25">
      <c r="A8" s="360"/>
      <c r="B8" s="106"/>
      <c r="C8" s="106"/>
      <c r="D8" s="101" t="s">
        <v>117</v>
      </c>
      <c r="E8" s="101" t="s">
        <v>125</v>
      </c>
      <c r="F8" s="101" t="s">
        <v>219</v>
      </c>
      <c r="G8" s="101" t="s">
        <v>351</v>
      </c>
      <c r="H8" s="361" t="s">
        <v>219</v>
      </c>
      <c r="I8" s="361" t="s">
        <v>351</v>
      </c>
      <c r="J8" s="359" t="s">
        <v>12</v>
      </c>
    </row>
    <row r="9" spans="1:10" ht="15.75" thickBot="1" x14ac:dyDescent="0.3">
      <c r="A9" s="360"/>
      <c r="B9" s="106"/>
      <c r="C9" s="106"/>
      <c r="D9" s="3" t="s">
        <v>243</v>
      </c>
      <c r="E9" s="3" t="s">
        <v>243</v>
      </c>
      <c r="F9" s="3" t="s">
        <v>243</v>
      </c>
      <c r="G9" s="3" t="s">
        <v>243</v>
      </c>
      <c r="H9" s="362" t="s">
        <v>243</v>
      </c>
      <c r="I9" s="362" t="s">
        <v>243</v>
      </c>
      <c r="J9" s="362"/>
    </row>
    <row r="10" spans="1:10" x14ac:dyDescent="0.25">
      <c r="A10" s="363" t="s">
        <v>538</v>
      </c>
      <c r="B10" s="364"/>
      <c r="C10" s="364"/>
      <c r="D10" s="46" t="s">
        <v>5</v>
      </c>
      <c r="E10" s="46" t="s">
        <v>5</v>
      </c>
      <c r="F10" s="46" t="s">
        <v>5</v>
      </c>
      <c r="G10" s="46" t="s">
        <v>5</v>
      </c>
      <c r="H10" s="365" t="s">
        <v>5</v>
      </c>
      <c r="I10" s="365" t="s">
        <v>5</v>
      </c>
      <c r="J10" s="372" t="s">
        <v>6</v>
      </c>
    </row>
    <row r="11" spans="1:10" x14ac:dyDescent="0.25">
      <c r="A11" s="111" t="s">
        <v>135</v>
      </c>
      <c r="B11" s="51" t="s">
        <v>135</v>
      </c>
      <c r="C11" s="51" t="s">
        <v>569</v>
      </c>
      <c r="D11" s="359"/>
      <c r="E11" s="359"/>
      <c r="F11" s="359"/>
      <c r="G11" s="359"/>
      <c r="H11" s="359"/>
      <c r="I11" s="359"/>
      <c r="J11" s="373"/>
    </row>
    <row r="12" spans="1:10" x14ac:dyDescent="0.25">
      <c r="A12" s="55" t="s">
        <v>136</v>
      </c>
      <c r="B12" s="370"/>
      <c r="C12" s="370"/>
      <c r="D12" s="222"/>
      <c r="E12" s="222"/>
      <c r="F12" s="222"/>
      <c r="G12" s="222"/>
      <c r="H12" s="354"/>
      <c r="I12" s="354"/>
      <c r="J12" s="56">
        <f t="shared" ref="J12:J23" si="0">SUM(D12:I12)</f>
        <v>0</v>
      </c>
    </row>
    <row r="13" spans="1:10" x14ac:dyDescent="0.25">
      <c r="A13" s="55" t="s">
        <v>137</v>
      </c>
      <c r="B13" s="370"/>
      <c r="C13" s="370"/>
      <c r="D13" s="222"/>
      <c r="E13" s="222"/>
      <c r="F13" s="222"/>
      <c r="G13" s="222"/>
      <c r="H13" s="354"/>
      <c r="I13" s="354"/>
      <c r="J13" s="56">
        <f t="shared" si="0"/>
        <v>0</v>
      </c>
    </row>
    <row r="14" spans="1:10" x14ac:dyDescent="0.25">
      <c r="A14" s="55" t="s">
        <v>138</v>
      </c>
      <c r="B14" s="370"/>
      <c r="C14" s="370"/>
      <c r="D14" s="222"/>
      <c r="E14" s="222"/>
      <c r="F14" s="222"/>
      <c r="G14" s="222"/>
      <c r="H14" s="354"/>
      <c r="I14" s="354"/>
      <c r="J14" s="56">
        <f t="shared" si="0"/>
        <v>0</v>
      </c>
    </row>
    <row r="15" spans="1:10" x14ac:dyDescent="0.25">
      <c r="A15" s="55" t="s">
        <v>139</v>
      </c>
      <c r="B15" s="370"/>
      <c r="C15" s="370"/>
      <c r="D15" s="222"/>
      <c r="E15" s="222"/>
      <c r="F15" s="222"/>
      <c r="G15" s="222"/>
      <c r="H15" s="354"/>
      <c r="I15" s="354"/>
      <c r="J15" s="56">
        <f t="shared" si="0"/>
        <v>0</v>
      </c>
    </row>
    <row r="16" spans="1:10" x14ac:dyDescent="0.25">
      <c r="A16" s="55" t="s">
        <v>140</v>
      </c>
      <c r="B16" s="370"/>
      <c r="C16" s="370"/>
      <c r="D16" s="222"/>
      <c r="E16" s="222"/>
      <c r="F16" s="222"/>
      <c r="G16" s="222"/>
      <c r="H16" s="354"/>
      <c r="I16" s="354"/>
      <c r="J16" s="56">
        <f t="shared" si="0"/>
        <v>0</v>
      </c>
    </row>
    <row r="17" spans="1:10" x14ac:dyDescent="0.25">
      <c r="A17" s="55" t="s">
        <v>141</v>
      </c>
      <c r="B17" s="370"/>
      <c r="C17" s="370"/>
      <c r="D17" s="222"/>
      <c r="E17" s="222"/>
      <c r="F17" s="222"/>
      <c r="G17" s="222"/>
      <c r="H17" s="354"/>
      <c r="I17" s="354"/>
      <c r="J17" s="56">
        <f t="shared" si="0"/>
        <v>0</v>
      </c>
    </row>
    <row r="18" spans="1:10" x14ac:dyDescent="0.25">
      <c r="A18" s="55" t="s">
        <v>142</v>
      </c>
      <c r="B18" s="370"/>
      <c r="C18" s="370"/>
      <c r="D18" s="222"/>
      <c r="E18" s="222"/>
      <c r="F18" s="222"/>
      <c r="G18" s="222"/>
      <c r="H18" s="354"/>
      <c r="I18" s="354"/>
      <c r="J18" s="56">
        <f t="shared" si="0"/>
        <v>0</v>
      </c>
    </row>
    <row r="19" spans="1:10" x14ac:dyDescent="0.25">
      <c r="A19" s="55" t="s">
        <v>143</v>
      </c>
      <c r="B19" s="370"/>
      <c r="C19" s="370"/>
      <c r="D19" s="222"/>
      <c r="E19" s="222"/>
      <c r="F19" s="222"/>
      <c r="G19" s="222"/>
      <c r="H19" s="354"/>
      <c r="I19" s="354"/>
      <c r="J19" s="56">
        <f t="shared" si="0"/>
        <v>0</v>
      </c>
    </row>
    <row r="20" spans="1:10" x14ac:dyDescent="0.25">
      <c r="A20" s="55" t="s">
        <v>144</v>
      </c>
      <c r="B20" s="370"/>
      <c r="C20" s="370"/>
      <c r="D20" s="222"/>
      <c r="E20" s="222"/>
      <c r="F20" s="222"/>
      <c r="G20" s="222"/>
      <c r="H20" s="354"/>
      <c r="I20" s="354"/>
      <c r="J20" s="56">
        <f t="shared" si="0"/>
        <v>0</v>
      </c>
    </row>
    <row r="21" spans="1:10" x14ac:dyDescent="0.25">
      <c r="A21" s="55" t="s">
        <v>145</v>
      </c>
      <c r="B21" s="370"/>
      <c r="C21" s="370"/>
      <c r="D21" s="222"/>
      <c r="E21" s="222"/>
      <c r="F21" s="222"/>
      <c r="G21" s="222"/>
      <c r="H21" s="354"/>
      <c r="I21" s="354"/>
      <c r="J21" s="56">
        <f t="shared" si="0"/>
        <v>0</v>
      </c>
    </row>
    <row r="22" spans="1:10" x14ac:dyDescent="0.25">
      <c r="A22" s="55" t="s">
        <v>146</v>
      </c>
      <c r="B22" s="370"/>
      <c r="C22" s="370"/>
      <c r="D22" s="222"/>
      <c r="E22" s="222"/>
      <c r="F22" s="222"/>
      <c r="G22" s="222"/>
      <c r="H22" s="354"/>
      <c r="I22" s="354"/>
      <c r="J22" s="56">
        <f t="shared" si="0"/>
        <v>0</v>
      </c>
    </row>
    <row r="23" spans="1:10" ht="15.75" thickBot="1" x14ac:dyDescent="0.3">
      <c r="A23" s="55" t="s">
        <v>147</v>
      </c>
      <c r="B23" s="370"/>
      <c r="C23" s="370"/>
      <c r="D23" s="222"/>
      <c r="E23" s="222"/>
      <c r="F23" s="222"/>
      <c r="G23" s="222"/>
      <c r="H23" s="354"/>
      <c r="I23" s="354"/>
      <c r="J23" s="56">
        <f t="shared" si="0"/>
        <v>0</v>
      </c>
    </row>
    <row r="24" spans="1:10" ht="15.75" thickBot="1" x14ac:dyDescent="0.3">
      <c r="A24" s="58" t="s">
        <v>539</v>
      </c>
      <c r="B24" s="114"/>
      <c r="C24" s="346"/>
      <c r="D24" s="82">
        <f>SUM(D12:D23)</f>
        <v>0</v>
      </c>
      <c r="E24" s="82">
        <f t="shared" ref="E24:J24" si="1">SUM(E12:E23)</f>
        <v>0</v>
      </c>
      <c r="F24" s="82">
        <f t="shared" si="1"/>
        <v>0</v>
      </c>
      <c r="G24" s="82">
        <f t="shared" si="1"/>
        <v>0</v>
      </c>
      <c r="H24" s="82">
        <f t="shared" si="1"/>
        <v>0</v>
      </c>
      <c r="I24" s="82">
        <f>SUM(I12:I23)</f>
        <v>0</v>
      </c>
      <c r="J24" s="57">
        <f t="shared" si="1"/>
        <v>0</v>
      </c>
    </row>
    <row r="28" spans="1:10" hidden="1" x14ac:dyDescent="0.25">
      <c r="B28" t="s">
        <v>233</v>
      </c>
    </row>
    <row r="29" spans="1:10" hidden="1" x14ac:dyDescent="0.25">
      <c r="B29" s="378" t="s">
        <v>551</v>
      </c>
    </row>
    <row r="30" spans="1:10" hidden="1" x14ac:dyDescent="0.25">
      <c r="B30" t="s">
        <v>552</v>
      </c>
    </row>
    <row r="31" spans="1:10" hidden="1" x14ac:dyDescent="0.25">
      <c r="B31" t="s">
        <v>553</v>
      </c>
    </row>
    <row r="33" spans="1:1" ht="18.75" x14ac:dyDescent="0.25">
      <c r="A33" s="396"/>
    </row>
    <row r="34" spans="1:1" ht="18.75" x14ac:dyDescent="0.25">
      <c r="A34" s="397"/>
    </row>
    <row r="35" spans="1:1" ht="18.75" x14ac:dyDescent="0.25">
      <c r="A35" s="397"/>
    </row>
    <row r="36" spans="1:1" ht="18.75" x14ac:dyDescent="0.25">
      <c r="A36" s="397"/>
    </row>
  </sheetData>
  <mergeCells count="1">
    <mergeCell ref="A1:J1"/>
  </mergeCells>
  <dataValidations count="1">
    <dataValidation allowBlank="1" showInputMessage="1" showErrorMessage="1" promptTitle="DO NOT INPUT DATA!" prompt="These cells are auto-populated. Do not enter data. " sqref="J12:J24 D24:J24" xr:uid="{8A8EB87C-D037-4FA3-AA56-C6B6DADD2ED5}"/>
  </dataValidations>
  <hyperlinks>
    <hyperlink ref="A5" r:id="rId1" xr:uid="{634A0909-32CF-4D33-A73E-5C4AA93CE83D}"/>
  </hyperlinks>
  <pageMargins left="0.7" right="0.7" top="0.75" bottom="0.75" header="0.3" footer="0.3"/>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5751-19F1-491B-A6A8-0ABCA5A64735}">
  <sheetPr>
    <tabColor rgb="FF00B050"/>
    <pageSetUpPr fitToPage="1"/>
  </sheetPr>
  <dimension ref="A1:J25"/>
  <sheetViews>
    <sheetView view="pageBreakPreview" zoomScale="98" zoomScaleNormal="85" zoomScaleSheetLayoutView="98" workbookViewId="0">
      <selection activeCell="D8" sqref="D8"/>
    </sheetView>
  </sheetViews>
  <sheetFormatPr defaultRowHeight="15" x14ac:dyDescent="0.25"/>
  <cols>
    <col min="1" max="1" width="9.28515625" customWidth="1"/>
    <col min="2" max="2" width="56.140625" customWidth="1"/>
    <col min="3" max="3" width="42.42578125" customWidth="1"/>
    <col min="4" max="7" width="13.42578125" bestFit="1" customWidth="1"/>
    <col min="8" max="9" width="13.42578125" hidden="1" customWidth="1"/>
    <col min="10" max="10" width="11.5703125" bestFit="1" customWidth="1"/>
  </cols>
  <sheetData>
    <row r="1" spans="1:10" ht="23.25" x14ac:dyDescent="0.35">
      <c r="A1" s="355" t="s">
        <v>571</v>
      </c>
      <c r="B1" s="74"/>
      <c r="C1" s="74"/>
      <c r="H1" s="6" t="s">
        <v>112</v>
      </c>
      <c r="I1" s="6" t="s">
        <v>194</v>
      </c>
      <c r="J1" s="59"/>
    </row>
    <row r="2" spans="1:10" ht="110.25" customHeight="1" thickBot="1" x14ac:dyDescent="0.4">
      <c r="A2" s="356"/>
      <c r="H2" s="3"/>
      <c r="I2" s="3"/>
      <c r="J2" s="64"/>
    </row>
    <row r="3" spans="1:10" ht="23.25" x14ac:dyDescent="0.35">
      <c r="A3" s="357"/>
      <c r="B3" s="358"/>
      <c r="C3" s="358"/>
      <c r="D3" s="359" t="s">
        <v>109</v>
      </c>
      <c r="E3" s="359" t="s">
        <v>110</v>
      </c>
      <c r="F3" s="359" t="s">
        <v>110</v>
      </c>
      <c r="G3" s="359" t="s">
        <v>112</v>
      </c>
      <c r="H3" s="359"/>
      <c r="I3" s="359"/>
      <c r="J3" s="91"/>
    </row>
    <row r="4" spans="1:10" x14ac:dyDescent="0.25">
      <c r="A4" s="360"/>
      <c r="B4" s="106"/>
      <c r="C4" s="106"/>
      <c r="D4" s="361" t="s">
        <v>117</v>
      </c>
      <c r="E4" s="361" t="s">
        <v>125</v>
      </c>
      <c r="F4" s="361" t="s">
        <v>219</v>
      </c>
      <c r="G4" s="361" t="s">
        <v>351</v>
      </c>
      <c r="H4" s="361" t="s">
        <v>219</v>
      </c>
      <c r="I4" s="361" t="s">
        <v>351</v>
      </c>
      <c r="J4" s="91"/>
    </row>
    <row r="5" spans="1:10" ht="15.75" thickBot="1" x14ac:dyDescent="0.3">
      <c r="A5" s="360"/>
      <c r="B5" s="106"/>
      <c r="C5" s="106"/>
      <c r="D5" s="362" t="s">
        <v>243</v>
      </c>
      <c r="E5" s="362" t="s">
        <v>243</v>
      </c>
      <c r="F5" s="362" t="s">
        <v>243</v>
      </c>
      <c r="G5" s="362" t="s">
        <v>243</v>
      </c>
      <c r="H5" s="362" t="s">
        <v>243</v>
      </c>
      <c r="I5" s="362" t="s">
        <v>243</v>
      </c>
      <c r="J5" s="362" t="s">
        <v>12</v>
      </c>
    </row>
    <row r="6" spans="1:10" x14ac:dyDescent="0.25">
      <c r="A6" s="363" t="s">
        <v>534</v>
      </c>
      <c r="B6" s="363"/>
      <c r="C6" s="364"/>
      <c r="D6" s="365" t="s">
        <v>5</v>
      </c>
      <c r="E6" s="365" t="s">
        <v>5</v>
      </c>
      <c r="F6" s="365" t="s">
        <v>5</v>
      </c>
      <c r="G6" s="365" t="s">
        <v>5</v>
      </c>
      <c r="H6" s="365" t="s">
        <v>5</v>
      </c>
      <c r="I6" s="365" t="s">
        <v>5</v>
      </c>
      <c r="J6" s="366" t="s">
        <v>6</v>
      </c>
    </row>
    <row r="7" spans="1:10" x14ac:dyDescent="0.25">
      <c r="A7" s="111" t="s">
        <v>135</v>
      </c>
      <c r="B7" s="111" t="s">
        <v>535</v>
      </c>
      <c r="C7" s="51" t="s">
        <v>182</v>
      </c>
      <c r="D7" s="359"/>
      <c r="E7" s="359"/>
      <c r="F7" s="359"/>
      <c r="G7" s="359"/>
      <c r="H7" s="359"/>
      <c r="I7" s="359"/>
      <c r="J7" s="367"/>
    </row>
    <row r="8" spans="1:10" x14ac:dyDescent="0.25">
      <c r="A8" s="55" t="s">
        <v>136</v>
      </c>
      <c r="B8" s="368" t="s">
        <v>233</v>
      </c>
      <c r="C8" s="233"/>
      <c r="D8" s="234"/>
      <c r="E8" s="234"/>
      <c r="F8" s="234"/>
      <c r="G8" s="234"/>
      <c r="H8" s="369"/>
      <c r="I8" s="369"/>
      <c r="J8" s="56">
        <f>SUM(D8:I8)</f>
        <v>0</v>
      </c>
    </row>
    <row r="9" spans="1:10" x14ac:dyDescent="0.25">
      <c r="A9" s="55" t="s">
        <v>137</v>
      </c>
      <c r="B9" s="368" t="s">
        <v>233</v>
      </c>
      <c r="C9" s="233"/>
      <c r="D9" s="234"/>
      <c r="E9" s="234"/>
      <c r="F9" s="234"/>
      <c r="G9" s="234"/>
      <c r="H9" s="369"/>
      <c r="I9" s="369"/>
      <c r="J9" s="56">
        <f t="shared" ref="J9:J19" si="0">SUM(D9:I9)</f>
        <v>0</v>
      </c>
    </row>
    <row r="10" spans="1:10" x14ac:dyDescent="0.25">
      <c r="A10" s="55" t="s">
        <v>138</v>
      </c>
      <c r="B10" s="368" t="s">
        <v>233</v>
      </c>
      <c r="C10" s="233"/>
      <c r="D10" s="234"/>
      <c r="E10" s="234"/>
      <c r="F10" s="234"/>
      <c r="G10" s="234"/>
      <c r="H10" s="369"/>
      <c r="I10" s="369"/>
      <c r="J10" s="56">
        <f t="shared" si="0"/>
        <v>0</v>
      </c>
    </row>
    <row r="11" spans="1:10" x14ac:dyDescent="0.25">
      <c r="A11" s="55" t="s">
        <v>139</v>
      </c>
      <c r="B11" s="368" t="s">
        <v>233</v>
      </c>
      <c r="C11" s="233"/>
      <c r="D11" s="234"/>
      <c r="E11" s="234"/>
      <c r="F11" s="234"/>
      <c r="G11" s="234"/>
      <c r="H11" s="369"/>
      <c r="I11" s="369"/>
      <c r="J11" s="56">
        <f t="shared" si="0"/>
        <v>0</v>
      </c>
    </row>
    <row r="12" spans="1:10" x14ac:dyDescent="0.25">
      <c r="A12" s="55" t="s">
        <v>140</v>
      </c>
      <c r="B12" s="368" t="s">
        <v>233</v>
      </c>
      <c r="C12" s="233"/>
      <c r="D12" s="234"/>
      <c r="E12" s="234"/>
      <c r="F12" s="234"/>
      <c r="G12" s="234"/>
      <c r="H12" s="369"/>
      <c r="I12" s="369"/>
      <c r="J12" s="56">
        <f t="shared" si="0"/>
        <v>0</v>
      </c>
    </row>
    <row r="13" spans="1:10" x14ac:dyDescent="0.25">
      <c r="A13" s="55" t="s">
        <v>141</v>
      </c>
      <c r="B13" s="368" t="s">
        <v>233</v>
      </c>
      <c r="C13" s="233"/>
      <c r="D13" s="234"/>
      <c r="E13" s="234"/>
      <c r="F13" s="234"/>
      <c r="G13" s="234"/>
      <c r="H13" s="369"/>
      <c r="I13" s="369"/>
      <c r="J13" s="56">
        <f t="shared" si="0"/>
        <v>0</v>
      </c>
    </row>
    <row r="14" spans="1:10" x14ac:dyDescent="0.25">
      <c r="A14" s="55" t="s">
        <v>142</v>
      </c>
      <c r="B14" s="368" t="s">
        <v>233</v>
      </c>
      <c r="C14" s="233"/>
      <c r="D14" s="234"/>
      <c r="E14" s="234"/>
      <c r="F14" s="234"/>
      <c r="G14" s="234"/>
      <c r="H14" s="369"/>
      <c r="I14" s="369"/>
      <c r="J14" s="56">
        <f t="shared" si="0"/>
        <v>0</v>
      </c>
    </row>
    <row r="15" spans="1:10" x14ac:dyDescent="0.25">
      <c r="A15" s="55" t="s">
        <v>143</v>
      </c>
      <c r="B15" s="368" t="s">
        <v>233</v>
      </c>
      <c r="C15" s="233"/>
      <c r="D15" s="234"/>
      <c r="E15" s="234"/>
      <c r="F15" s="234"/>
      <c r="G15" s="234"/>
      <c r="H15" s="369"/>
      <c r="I15" s="369"/>
      <c r="J15" s="56">
        <f t="shared" si="0"/>
        <v>0</v>
      </c>
    </row>
    <row r="16" spans="1:10" x14ac:dyDescent="0.25">
      <c r="A16" s="55" t="s">
        <v>144</v>
      </c>
      <c r="B16" s="368" t="s">
        <v>233</v>
      </c>
      <c r="C16" s="233"/>
      <c r="D16" s="234"/>
      <c r="E16" s="234"/>
      <c r="F16" s="234"/>
      <c r="G16" s="234"/>
      <c r="H16" s="369"/>
      <c r="I16" s="369"/>
      <c r="J16" s="56">
        <f t="shared" si="0"/>
        <v>0</v>
      </c>
    </row>
    <row r="17" spans="1:10" x14ac:dyDescent="0.25">
      <c r="A17" s="55" t="s">
        <v>145</v>
      </c>
      <c r="B17" s="368" t="s">
        <v>233</v>
      </c>
      <c r="C17" s="233"/>
      <c r="D17" s="234"/>
      <c r="E17" s="234"/>
      <c r="F17" s="234"/>
      <c r="G17" s="234"/>
      <c r="H17" s="369"/>
      <c r="I17" s="369"/>
      <c r="J17" s="56">
        <f t="shared" si="0"/>
        <v>0</v>
      </c>
    </row>
    <row r="18" spans="1:10" x14ac:dyDescent="0.25">
      <c r="A18" s="55" t="s">
        <v>146</v>
      </c>
      <c r="B18" s="368" t="s">
        <v>233</v>
      </c>
      <c r="C18" s="233"/>
      <c r="D18" s="234"/>
      <c r="E18" s="234"/>
      <c r="F18" s="234"/>
      <c r="G18" s="234"/>
      <c r="H18" s="369"/>
      <c r="I18" s="369"/>
      <c r="J18" s="56">
        <f t="shared" si="0"/>
        <v>0</v>
      </c>
    </row>
    <row r="19" spans="1:10" ht="15.75" thickBot="1" x14ac:dyDescent="0.3">
      <c r="A19" s="55" t="s">
        <v>147</v>
      </c>
      <c r="B19" s="368" t="s">
        <v>233</v>
      </c>
      <c r="C19" s="233"/>
      <c r="D19" s="234"/>
      <c r="E19" s="234"/>
      <c r="F19" s="234"/>
      <c r="G19" s="234"/>
      <c r="H19" s="369"/>
      <c r="I19" s="369"/>
      <c r="J19" s="56">
        <f t="shared" si="0"/>
        <v>0</v>
      </c>
    </row>
    <row r="20" spans="1:10" ht="15.75" thickBot="1" x14ac:dyDescent="0.3">
      <c r="A20" s="50" t="s">
        <v>417</v>
      </c>
      <c r="B20" s="103"/>
      <c r="C20" s="96"/>
      <c r="D20" s="82">
        <f>SUM(D8:D19)</f>
        <v>0</v>
      </c>
      <c r="E20" s="82">
        <f t="shared" ref="E20:J20" si="1">SUM(E8:E19)</f>
        <v>0</v>
      </c>
      <c r="F20" s="82">
        <f t="shared" ref="F20" si="2">SUM(F8:F19)</f>
        <v>0</v>
      </c>
      <c r="G20" s="82">
        <f t="shared" si="1"/>
        <v>0</v>
      </c>
      <c r="H20" s="82">
        <f t="shared" si="1"/>
        <v>0</v>
      </c>
      <c r="I20" s="82">
        <f>SUM(I8:I19)</f>
        <v>0</v>
      </c>
      <c r="J20" s="57">
        <f t="shared" si="1"/>
        <v>0</v>
      </c>
    </row>
    <row r="24" spans="1:10" x14ac:dyDescent="0.25">
      <c r="B24" s="376" t="s">
        <v>233</v>
      </c>
    </row>
    <row r="25" spans="1:10" x14ac:dyDescent="0.25">
      <c r="B25" s="377" t="s">
        <v>545</v>
      </c>
    </row>
  </sheetData>
  <sheetProtection algorithmName="SHA-512" hashValue="19zO+5vt7JM2nqNKKZWlkELmzJzMc3/qf7pBGJ/GRh8OM5i0Q2TGGclQe4CxE9RWnDQynkXVV4O0+oJl8z+VGw==" saltValue="VX9BKRd9o5IMNbrgMJ4jaA==" spinCount="100000" sheet="1" objects="1" scenarios="1" selectLockedCells="1"/>
  <dataValidations count="3">
    <dataValidation allowBlank="1" showErrorMessage="1" promptTitle="DO NOT INPUT DATA!" prompt="These cells are auto-populated. Do not enter data. " sqref="D8:I19" xr:uid="{C3CE76CF-62A8-4723-A28D-B0E29FD736F8}"/>
    <dataValidation allowBlank="1" showInputMessage="1" showErrorMessage="1" promptTitle="DO NOT INPUT DATA!" prompt="These cells are auto-populated. Do not enter data. " sqref="J8:J20 D20:I20" xr:uid="{1D60B032-8394-494D-8746-DE5F2CE2C64E}"/>
    <dataValidation type="list" allowBlank="1" showInputMessage="1" showErrorMessage="1" sqref="B8:B19" xr:uid="{DDE70000-7D0D-4FBA-966D-0E765FFB3C37}">
      <formula1>$B$24:$B$25</formula1>
    </dataValidation>
  </dataValidations>
  <pageMargins left="0.70866141732283472" right="0.70866141732283472" top="0.74803149606299213" bottom="0.74803149606299213" header="0.31496062992125984" footer="0.31496062992125984"/>
  <pageSetup paperSize="9" scale="50" orientation="portrait" horizontalDpi="4294967293"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6107-552B-47B9-A6CD-EBA5C9884D70}">
  <sheetPr>
    <tabColor rgb="FF00B050"/>
    <pageSetUpPr fitToPage="1"/>
  </sheetPr>
  <dimension ref="A1:J56"/>
  <sheetViews>
    <sheetView view="pageBreakPreview" topLeftCell="A9" zoomScaleNormal="100" zoomScaleSheetLayoutView="100" workbookViewId="0">
      <selection activeCell="B9" sqref="B9"/>
    </sheetView>
  </sheetViews>
  <sheetFormatPr defaultRowHeight="15" x14ac:dyDescent="0.25"/>
  <cols>
    <col min="1" max="1" width="9.28515625" customWidth="1"/>
    <col min="2" max="2" width="44.28515625" bestFit="1" customWidth="1"/>
    <col min="3" max="3" width="42.42578125" customWidth="1"/>
    <col min="4" max="5" width="13.42578125" bestFit="1" customWidth="1"/>
    <col min="6" max="6" width="13.42578125" customWidth="1"/>
    <col min="7" max="7" width="13.42578125" bestFit="1" customWidth="1"/>
    <col min="8" max="9" width="13.42578125" hidden="1" customWidth="1"/>
    <col min="10" max="10" width="11.5703125" bestFit="1" customWidth="1"/>
  </cols>
  <sheetData>
    <row r="1" spans="1:10" ht="23.25" x14ac:dyDescent="0.35">
      <c r="A1" s="472" t="s">
        <v>572</v>
      </c>
      <c r="B1" s="472"/>
      <c r="C1" s="472"/>
      <c r="D1" s="472"/>
      <c r="E1" s="472"/>
      <c r="F1" s="472"/>
      <c r="G1" s="472"/>
      <c r="H1" s="472"/>
      <c r="I1" s="472"/>
      <c r="J1" s="472"/>
    </row>
    <row r="2" spans="1:10" ht="90.75" customHeight="1" thickBot="1" x14ac:dyDescent="0.35">
      <c r="A2" s="110"/>
      <c r="B2" s="112"/>
      <c r="C2" s="112"/>
      <c r="D2" s="106"/>
      <c r="E2" s="106"/>
      <c r="F2" s="106"/>
      <c r="G2" s="106"/>
      <c r="H2" s="106"/>
      <c r="I2" s="106"/>
      <c r="J2" s="106"/>
    </row>
    <row r="3" spans="1:10" ht="15.75" hidden="1" thickBot="1" x14ac:dyDescent="0.3">
      <c r="A3" s="106"/>
      <c r="B3" s="106"/>
      <c r="C3" s="106"/>
      <c r="D3" s="106"/>
      <c r="E3" s="106"/>
      <c r="F3" s="106"/>
      <c r="G3" s="106"/>
      <c r="H3" s="106"/>
      <c r="I3" s="106"/>
      <c r="J3" s="106"/>
    </row>
    <row r="4" spans="1:10" x14ac:dyDescent="0.25">
      <c r="A4" s="102"/>
      <c r="B4" s="74"/>
      <c r="C4" s="74"/>
      <c r="D4" s="359" t="s">
        <v>109</v>
      </c>
      <c r="E4" s="359" t="s">
        <v>110</v>
      </c>
      <c r="F4" s="359" t="s">
        <v>111</v>
      </c>
      <c r="G4" s="359" t="s">
        <v>112</v>
      </c>
      <c r="H4" s="359" t="s">
        <v>112</v>
      </c>
      <c r="I4" s="359" t="s">
        <v>194</v>
      </c>
      <c r="J4" s="91"/>
    </row>
    <row r="5" spans="1:10" x14ac:dyDescent="0.25">
      <c r="A5" s="55"/>
      <c r="D5" s="361" t="s">
        <v>117</v>
      </c>
      <c r="E5" s="361" t="s">
        <v>125</v>
      </c>
      <c r="F5" s="361" t="s">
        <v>219</v>
      </c>
      <c r="G5" s="361" t="s">
        <v>125</v>
      </c>
      <c r="H5" s="361" t="s">
        <v>219</v>
      </c>
      <c r="I5" s="361" t="s">
        <v>351</v>
      </c>
      <c r="J5" s="91"/>
    </row>
    <row r="6" spans="1:10" ht="15.75" thickBot="1" x14ac:dyDescent="0.3">
      <c r="A6" s="55"/>
      <c r="D6" s="362" t="s">
        <v>243</v>
      </c>
      <c r="E6" s="362" t="s">
        <v>243</v>
      </c>
      <c r="F6" s="362" t="s">
        <v>243</v>
      </c>
      <c r="G6" s="362" t="s">
        <v>243</v>
      </c>
      <c r="H6" s="362" t="s">
        <v>243</v>
      </c>
      <c r="I6" s="362" t="s">
        <v>243</v>
      </c>
      <c r="J6" s="362" t="s">
        <v>12</v>
      </c>
    </row>
    <row r="7" spans="1:10" x14ac:dyDescent="0.25">
      <c r="A7" s="363" t="s">
        <v>536</v>
      </c>
      <c r="B7" s="364"/>
      <c r="C7" s="364"/>
      <c r="D7" s="365" t="s">
        <v>5</v>
      </c>
      <c r="E7" s="365" t="s">
        <v>5</v>
      </c>
      <c r="F7" s="365" t="s">
        <v>5</v>
      </c>
      <c r="G7" s="365" t="s">
        <v>5</v>
      </c>
      <c r="H7" s="365" t="s">
        <v>5</v>
      </c>
      <c r="I7" s="365" t="s">
        <v>5</v>
      </c>
      <c r="J7" s="366" t="s">
        <v>6</v>
      </c>
    </row>
    <row r="8" spans="1:10" x14ac:dyDescent="0.25">
      <c r="A8" s="111" t="s">
        <v>135</v>
      </c>
      <c r="B8" s="51" t="s">
        <v>532</v>
      </c>
      <c r="C8" s="51" t="s">
        <v>182</v>
      </c>
      <c r="D8" s="359"/>
      <c r="E8" s="359"/>
      <c r="F8" s="359"/>
      <c r="G8" s="359"/>
      <c r="H8" s="359"/>
      <c r="I8" s="359"/>
      <c r="J8" s="367"/>
    </row>
    <row r="9" spans="1:10" x14ac:dyDescent="0.25">
      <c r="A9" s="55" t="s">
        <v>136</v>
      </c>
      <c r="B9" s="169" t="s">
        <v>233</v>
      </c>
      <c r="C9" s="370"/>
      <c r="D9" s="234"/>
      <c r="E9" s="234"/>
      <c r="F9" s="234"/>
      <c r="G9" s="234"/>
      <c r="H9" s="369"/>
      <c r="I9" s="369"/>
      <c r="J9" s="56">
        <f>SUM(D9:I9)</f>
        <v>0</v>
      </c>
    </row>
    <row r="10" spans="1:10" x14ac:dyDescent="0.25">
      <c r="A10" s="55" t="s">
        <v>137</v>
      </c>
      <c r="B10" s="169" t="s">
        <v>233</v>
      </c>
      <c r="C10" s="370"/>
      <c r="D10" s="234"/>
      <c r="E10" s="234"/>
      <c r="F10" s="234"/>
      <c r="G10" s="234"/>
      <c r="H10" s="369"/>
      <c r="I10" s="369"/>
      <c r="J10" s="56">
        <f t="shared" ref="J10:J20" si="0">SUM(D10:I10)</f>
        <v>0</v>
      </c>
    </row>
    <row r="11" spans="1:10" x14ac:dyDescent="0.25">
      <c r="A11" s="55" t="s">
        <v>138</v>
      </c>
      <c r="B11" s="169" t="s">
        <v>233</v>
      </c>
      <c r="C11" s="370"/>
      <c r="D11" s="234"/>
      <c r="E11" s="234"/>
      <c r="F11" s="234"/>
      <c r="G11" s="234"/>
      <c r="H11" s="369"/>
      <c r="I11" s="369"/>
      <c r="J11" s="56">
        <f t="shared" si="0"/>
        <v>0</v>
      </c>
    </row>
    <row r="12" spans="1:10" x14ac:dyDescent="0.25">
      <c r="A12" s="55" t="s">
        <v>139</v>
      </c>
      <c r="B12" s="169" t="s">
        <v>233</v>
      </c>
      <c r="C12" s="370"/>
      <c r="D12" s="234"/>
      <c r="E12" s="234"/>
      <c r="F12" s="234"/>
      <c r="G12" s="234"/>
      <c r="H12" s="369"/>
      <c r="I12" s="369"/>
      <c r="J12" s="56">
        <f t="shared" si="0"/>
        <v>0</v>
      </c>
    </row>
    <row r="13" spans="1:10" x14ac:dyDescent="0.25">
      <c r="A13" s="55" t="s">
        <v>140</v>
      </c>
      <c r="B13" s="169" t="s">
        <v>233</v>
      </c>
      <c r="C13" s="370"/>
      <c r="D13" s="234"/>
      <c r="E13" s="234"/>
      <c r="F13" s="234"/>
      <c r="G13" s="234"/>
      <c r="H13" s="369"/>
      <c r="I13" s="369"/>
      <c r="J13" s="56">
        <f t="shared" si="0"/>
        <v>0</v>
      </c>
    </row>
    <row r="14" spans="1:10" x14ac:dyDescent="0.25">
      <c r="A14" s="55" t="s">
        <v>141</v>
      </c>
      <c r="B14" s="169" t="s">
        <v>233</v>
      </c>
      <c r="C14" s="370"/>
      <c r="D14" s="234"/>
      <c r="E14" s="234"/>
      <c r="F14" s="234"/>
      <c r="G14" s="234"/>
      <c r="H14" s="369"/>
      <c r="I14" s="369"/>
      <c r="J14" s="56">
        <f t="shared" si="0"/>
        <v>0</v>
      </c>
    </row>
    <row r="15" spans="1:10" x14ac:dyDescent="0.25">
      <c r="A15" s="55" t="s">
        <v>142</v>
      </c>
      <c r="B15" s="169" t="s">
        <v>233</v>
      </c>
      <c r="C15" s="370"/>
      <c r="D15" s="234"/>
      <c r="E15" s="234"/>
      <c r="F15" s="234"/>
      <c r="G15" s="234"/>
      <c r="H15" s="369"/>
      <c r="I15" s="369"/>
      <c r="J15" s="56">
        <f t="shared" si="0"/>
        <v>0</v>
      </c>
    </row>
    <row r="16" spans="1:10" x14ac:dyDescent="0.25">
      <c r="A16" s="55" t="s">
        <v>143</v>
      </c>
      <c r="B16" s="169" t="s">
        <v>233</v>
      </c>
      <c r="C16" s="370"/>
      <c r="D16" s="234"/>
      <c r="E16" s="234"/>
      <c r="F16" s="234"/>
      <c r="G16" s="234"/>
      <c r="H16" s="369"/>
      <c r="I16" s="369"/>
      <c r="J16" s="56">
        <f t="shared" si="0"/>
        <v>0</v>
      </c>
    </row>
    <row r="17" spans="1:10" x14ac:dyDescent="0.25">
      <c r="A17" s="55" t="s">
        <v>144</v>
      </c>
      <c r="B17" s="169" t="s">
        <v>233</v>
      </c>
      <c r="C17" s="370"/>
      <c r="D17" s="234"/>
      <c r="E17" s="234"/>
      <c r="F17" s="234"/>
      <c r="G17" s="234"/>
      <c r="H17" s="369"/>
      <c r="I17" s="369"/>
      <c r="J17" s="56">
        <f t="shared" si="0"/>
        <v>0</v>
      </c>
    </row>
    <row r="18" spans="1:10" x14ac:dyDescent="0.25">
      <c r="A18" s="55" t="s">
        <v>145</v>
      </c>
      <c r="B18" s="169" t="s">
        <v>233</v>
      </c>
      <c r="C18" s="370"/>
      <c r="D18" s="234"/>
      <c r="E18" s="234"/>
      <c r="F18" s="234"/>
      <c r="G18" s="234"/>
      <c r="H18" s="369"/>
      <c r="I18" s="369"/>
      <c r="J18" s="56">
        <f t="shared" si="0"/>
        <v>0</v>
      </c>
    </row>
    <row r="19" spans="1:10" x14ac:dyDescent="0.25">
      <c r="A19" s="55" t="s">
        <v>146</v>
      </c>
      <c r="B19" s="169" t="s">
        <v>233</v>
      </c>
      <c r="C19" s="370"/>
      <c r="D19" s="234"/>
      <c r="E19" s="234"/>
      <c r="F19" s="234"/>
      <c r="G19" s="234"/>
      <c r="H19" s="369"/>
      <c r="I19" s="369"/>
      <c r="J19" s="56">
        <f t="shared" si="0"/>
        <v>0</v>
      </c>
    </row>
    <row r="20" spans="1:10" ht="15.75" thickBot="1" x14ac:dyDescent="0.3">
      <c r="A20" s="55" t="s">
        <v>147</v>
      </c>
      <c r="B20" s="169" t="s">
        <v>233</v>
      </c>
      <c r="C20" s="370"/>
      <c r="D20" s="234"/>
      <c r="E20" s="234"/>
      <c r="F20" s="234"/>
      <c r="G20" s="234"/>
      <c r="H20" s="369"/>
      <c r="I20" s="369"/>
      <c r="J20" s="56">
        <f t="shared" si="0"/>
        <v>0</v>
      </c>
    </row>
    <row r="21" spans="1:10" ht="15.75" thickBot="1" x14ac:dyDescent="0.3">
      <c r="A21" s="50" t="s">
        <v>537</v>
      </c>
      <c r="B21" s="53"/>
      <c r="C21" s="96"/>
      <c r="D21" s="82">
        <f>SUM(D9:D20)</f>
        <v>0</v>
      </c>
      <c r="E21" s="82">
        <f t="shared" ref="E21:J21" si="1">SUM(E9:E20)</f>
        <v>0</v>
      </c>
      <c r="F21" s="82">
        <f t="shared" si="1"/>
        <v>0</v>
      </c>
      <c r="G21" s="82">
        <f t="shared" si="1"/>
        <v>0</v>
      </c>
      <c r="H21" s="82">
        <f t="shared" si="1"/>
        <v>0</v>
      </c>
      <c r="I21" s="82">
        <f>SUM(I9:I20)</f>
        <v>0</v>
      </c>
      <c r="J21" s="57">
        <f t="shared" si="1"/>
        <v>0</v>
      </c>
    </row>
    <row r="39" hidden="1" x14ac:dyDescent="0.25"/>
    <row r="40" hidden="1" x14ac:dyDescent="0.25"/>
    <row r="41" hidden="1" x14ac:dyDescent="0.25"/>
    <row r="42" hidden="1" x14ac:dyDescent="0.25"/>
    <row r="43" hidden="1" x14ac:dyDescent="0.25"/>
    <row r="44" hidden="1" x14ac:dyDescent="0.25"/>
    <row r="45" hidden="1" x14ac:dyDescent="0.25"/>
    <row r="46" hidden="1" x14ac:dyDescent="0.25"/>
    <row r="51" spans="2:2" hidden="1" x14ac:dyDescent="0.25">
      <c r="B51" t="s">
        <v>233</v>
      </c>
    </row>
    <row r="52" spans="2:2" hidden="1" x14ac:dyDescent="0.25">
      <c r="B52" t="s">
        <v>546</v>
      </c>
    </row>
    <row r="53" spans="2:2" hidden="1" x14ac:dyDescent="0.25">
      <c r="B53" t="s">
        <v>547</v>
      </c>
    </row>
    <row r="54" spans="2:2" hidden="1" x14ac:dyDescent="0.25">
      <c r="B54" t="s">
        <v>548</v>
      </c>
    </row>
    <row r="55" spans="2:2" hidden="1" x14ac:dyDescent="0.25">
      <c r="B55" t="s">
        <v>549</v>
      </c>
    </row>
    <row r="56" spans="2:2" hidden="1" x14ac:dyDescent="0.25">
      <c r="B56" t="s">
        <v>550</v>
      </c>
    </row>
  </sheetData>
  <sheetProtection algorithmName="SHA-512" hashValue="CrEg9JvIJ0DawUirT4d5jEkxyYXUkWTRuteFeGGVykrAcvuw/Kqx3bh6J+9bjzIf7uzIqFlehQxs0tGjIL4s9w==" saltValue="20lVL+0zuOnozSycc5TTCw==" spinCount="100000" sheet="1" objects="1" scenarios="1" selectLockedCells="1"/>
  <mergeCells count="1">
    <mergeCell ref="A1:J1"/>
  </mergeCells>
  <dataValidations count="3">
    <dataValidation allowBlank="1" showErrorMessage="1" promptTitle="DO NOT INPUT DATA!" prompt="These cells are auto-populated. Do not enter data. " sqref="D9:I20" xr:uid="{AC3666D9-27E2-49D2-88AF-A5BC4671DB4B}"/>
    <dataValidation allowBlank="1" showInputMessage="1" showErrorMessage="1" promptTitle="DO NOT INPUT DATA!" prompt="These cells are auto-populated. Do not enter data. " sqref="J9:J21 D21:I21" xr:uid="{4DFF9A34-2C8C-44D2-A5E5-A038878AA9CB}"/>
    <dataValidation type="list" allowBlank="1" showInputMessage="1" showErrorMessage="1" sqref="B9:B20" xr:uid="{B7E09846-D837-401A-9B1E-46FA4ECAE8C9}">
      <formula1>$B$51:$B$56</formula1>
    </dataValidation>
  </dataValidations>
  <pageMargins left="0.70866141732283472" right="0.70866141732283472" top="0.74803149606299213" bottom="0.74803149606299213" header="0.31496062992125984" footer="0.31496062992125984"/>
  <pageSetup paperSize="9" scale="54" orientation="portrait" horizontalDpi="4294967293"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59A1-CCEC-4752-AB25-0E49EFD0B435}">
  <sheetPr>
    <tabColor rgb="FF00B050"/>
    <pageSetUpPr fitToPage="1"/>
  </sheetPr>
  <dimension ref="A1:J28"/>
  <sheetViews>
    <sheetView view="pageBreakPreview" topLeftCell="A3" zoomScale="90" zoomScaleNormal="100" zoomScaleSheetLayoutView="90" workbookViewId="0">
      <selection activeCell="B9" sqref="B9"/>
    </sheetView>
  </sheetViews>
  <sheetFormatPr defaultRowHeight="15" x14ac:dyDescent="0.25"/>
  <cols>
    <col min="1" max="1" width="7.85546875" customWidth="1"/>
    <col min="2" max="2" width="46.42578125" customWidth="1"/>
    <col min="3" max="3" width="41.5703125" bestFit="1" customWidth="1"/>
    <col min="4" max="7" width="12.42578125" bestFit="1" customWidth="1"/>
    <col min="8" max="9" width="12.42578125" hidden="1" customWidth="1"/>
  </cols>
  <sheetData>
    <row r="1" spans="1:10" ht="23.25" x14ac:dyDescent="0.35">
      <c r="A1" s="472" t="s">
        <v>573</v>
      </c>
      <c r="B1" s="472"/>
      <c r="C1" s="472"/>
      <c r="D1" s="472"/>
      <c r="E1" s="472"/>
      <c r="F1" s="472"/>
      <c r="G1" s="472"/>
      <c r="H1" s="472"/>
      <c r="I1" s="472"/>
      <c r="J1" s="472"/>
    </row>
    <row r="2" spans="1:10" ht="258.75" customHeight="1" x14ac:dyDescent="0.3">
      <c r="A2" s="110"/>
      <c r="B2" s="112"/>
      <c r="C2" s="112"/>
      <c r="D2" s="106"/>
      <c r="E2" s="106"/>
      <c r="F2" s="106"/>
      <c r="G2" s="106"/>
      <c r="H2" s="106"/>
      <c r="I2" s="106"/>
      <c r="J2" s="106"/>
    </row>
    <row r="3" spans="1:10" ht="15.75" thickBot="1" x14ac:dyDescent="0.3">
      <c r="A3" s="106"/>
      <c r="B3" s="106"/>
      <c r="C3" s="106"/>
      <c r="D3" s="106"/>
      <c r="E3" s="106"/>
      <c r="F3" s="106"/>
      <c r="G3" s="106"/>
      <c r="H3" s="106"/>
      <c r="I3" s="106"/>
      <c r="J3" s="106"/>
    </row>
    <row r="4" spans="1:10" x14ac:dyDescent="0.25">
      <c r="A4" s="371"/>
      <c r="B4" s="358"/>
      <c r="C4" s="358"/>
      <c r="D4" s="359" t="s">
        <v>109</v>
      </c>
      <c r="E4" s="359" t="s">
        <v>110</v>
      </c>
      <c r="F4" s="359" t="s">
        <v>111</v>
      </c>
      <c r="G4" s="359" t="s">
        <v>112</v>
      </c>
      <c r="H4" s="359" t="s">
        <v>112</v>
      </c>
      <c r="I4" s="359" t="s">
        <v>194</v>
      </c>
      <c r="J4" s="91"/>
    </row>
    <row r="5" spans="1:10" x14ac:dyDescent="0.25">
      <c r="A5" s="360"/>
      <c r="B5" s="106"/>
      <c r="C5" s="106"/>
      <c r="D5" s="361" t="s">
        <v>117</v>
      </c>
      <c r="E5" s="361" t="s">
        <v>125</v>
      </c>
      <c r="F5" s="361" t="s">
        <v>219</v>
      </c>
      <c r="G5" s="361" t="s">
        <v>351</v>
      </c>
      <c r="H5" s="361" t="s">
        <v>219</v>
      </c>
      <c r="I5" s="361" t="s">
        <v>351</v>
      </c>
      <c r="J5" s="359" t="s">
        <v>12</v>
      </c>
    </row>
    <row r="6" spans="1:10" ht="15.75" thickBot="1" x14ac:dyDescent="0.3">
      <c r="A6" s="360"/>
      <c r="B6" s="106"/>
      <c r="C6" s="106"/>
      <c r="D6" s="362" t="s">
        <v>243</v>
      </c>
      <c r="E6" s="362" t="s">
        <v>243</v>
      </c>
      <c r="F6" s="362" t="s">
        <v>243</v>
      </c>
      <c r="G6" s="362" t="s">
        <v>243</v>
      </c>
      <c r="H6" s="362" t="s">
        <v>243</v>
      </c>
      <c r="I6" s="362" t="s">
        <v>243</v>
      </c>
      <c r="J6" s="362"/>
    </row>
    <row r="7" spans="1:10" x14ac:dyDescent="0.25">
      <c r="A7" s="363" t="s">
        <v>538</v>
      </c>
      <c r="B7" s="364"/>
      <c r="C7" s="364"/>
      <c r="D7" s="365" t="s">
        <v>5</v>
      </c>
      <c r="E7" s="365" t="s">
        <v>5</v>
      </c>
      <c r="F7" s="365" t="s">
        <v>5</v>
      </c>
      <c r="G7" s="365" t="s">
        <v>5</v>
      </c>
      <c r="H7" s="365" t="s">
        <v>5</v>
      </c>
      <c r="I7" s="365" t="s">
        <v>5</v>
      </c>
      <c r="J7" s="372" t="s">
        <v>6</v>
      </c>
    </row>
    <row r="8" spans="1:10" x14ac:dyDescent="0.25">
      <c r="A8" s="111" t="s">
        <v>135</v>
      </c>
      <c r="B8" s="51" t="s">
        <v>532</v>
      </c>
      <c r="C8" s="51" t="s">
        <v>569</v>
      </c>
      <c r="D8" s="359"/>
      <c r="E8" s="359"/>
      <c r="F8" s="359"/>
      <c r="G8" s="359"/>
      <c r="H8" s="359"/>
      <c r="I8" s="359"/>
      <c r="J8" s="373"/>
    </row>
    <row r="9" spans="1:10" x14ac:dyDescent="0.25">
      <c r="A9" s="55" t="s">
        <v>136</v>
      </c>
      <c r="B9" s="169" t="s">
        <v>233</v>
      </c>
      <c r="C9" s="370"/>
      <c r="D9" s="222"/>
      <c r="E9" s="222"/>
      <c r="F9" s="222"/>
      <c r="G9" s="222"/>
      <c r="H9" s="354"/>
      <c r="I9" s="354"/>
      <c r="J9" s="56">
        <f>SUM(D9:I9)</f>
        <v>0</v>
      </c>
    </row>
    <row r="10" spans="1:10" x14ac:dyDescent="0.25">
      <c r="A10" s="55" t="s">
        <v>137</v>
      </c>
      <c r="B10" s="169" t="s">
        <v>233</v>
      </c>
      <c r="C10" s="370"/>
      <c r="D10" s="222"/>
      <c r="E10" s="222"/>
      <c r="F10" s="222"/>
      <c r="G10" s="222"/>
      <c r="H10" s="354"/>
      <c r="I10" s="354"/>
      <c r="J10" s="56">
        <f t="shared" ref="J10:J20" si="0">SUM(D10:I10)</f>
        <v>0</v>
      </c>
    </row>
    <row r="11" spans="1:10" x14ac:dyDescent="0.25">
      <c r="A11" s="55" t="s">
        <v>138</v>
      </c>
      <c r="B11" s="169" t="s">
        <v>233</v>
      </c>
      <c r="C11" s="370"/>
      <c r="D11" s="222"/>
      <c r="E11" s="222"/>
      <c r="F11" s="222"/>
      <c r="G11" s="222"/>
      <c r="H11" s="354"/>
      <c r="I11" s="354"/>
      <c r="J11" s="56">
        <f t="shared" si="0"/>
        <v>0</v>
      </c>
    </row>
    <row r="12" spans="1:10" x14ac:dyDescent="0.25">
      <c r="A12" s="55" t="s">
        <v>139</v>
      </c>
      <c r="B12" s="169" t="s">
        <v>233</v>
      </c>
      <c r="C12" s="370"/>
      <c r="D12" s="222"/>
      <c r="E12" s="222"/>
      <c r="F12" s="222"/>
      <c r="G12" s="222"/>
      <c r="H12" s="354"/>
      <c r="I12" s="354"/>
      <c r="J12" s="56">
        <f t="shared" si="0"/>
        <v>0</v>
      </c>
    </row>
    <row r="13" spans="1:10" x14ac:dyDescent="0.25">
      <c r="A13" s="55" t="s">
        <v>140</v>
      </c>
      <c r="B13" s="169" t="s">
        <v>233</v>
      </c>
      <c r="C13" s="370"/>
      <c r="D13" s="222"/>
      <c r="E13" s="222"/>
      <c r="F13" s="222"/>
      <c r="G13" s="222"/>
      <c r="H13" s="354"/>
      <c r="I13" s="354"/>
      <c r="J13" s="56">
        <f t="shared" si="0"/>
        <v>0</v>
      </c>
    </row>
    <row r="14" spans="1:10" x14ac:dyDescent="0.25">
      <c r="A14" s="55" t="s">
        <v>141</v>
      </c>
      <c r="B14" s="169" t="s">
        <v>233</v>
      </c>
      <c r="C14" s="370"/>
      <c r="D14" s="222"/>
      <c r="E14" s="222"/>
      <c r="F14" s="222"/>
      <c r="G14" s="222"/>
      <c r="H14" s="354"/>
      <c r="I14" s="354"/>
      <c r="J14" s="56">
        <f t="shared" si="0"/>
        <v>0</v>
      </c>
    </row>
    <row r="15" spans="1:10" x14ac:dyDescent="0.25">
      <c r="A15" s="55" t="s">
        <v>142</v>
      </c>
      <c r="B15" s="169" t="s">
        <v>233</v>
      </c>
      <c r="C15" s="370"/>
      <c r="D15" s="222"/>
      <c r="E15" s="222"/>
      <c r="F15" s="222"/>
      <c r="G15" s="222"/>
      <c r="H15" s="354"/>
      <c r="I15" s="354"/>
      <c r="J15" s="56">
        <f t="shared" si="0"/>
        <v>0</v>
      </c>
    </row>
    <row r="16" spans="1:10" x14ac:dyDescent="0.25">
      <c r="A16" s="55" t="s">
        <v>143</v>
      </c>
      <c r="B16" s="169" t="s">
        <v>233</v>
      </c>
      <c r="C16" s="370"/>
      <c r="D16" s="222"/>
      <c r="E16" s="222"/>
      <c r="F16" s="222"/>
      <c r="G16" s="222"/>
      <c r="H16" s="354"/>
      <c r="I16" s="354"/>
      <c r="J16" s="56">
        <f t="shared" si="0"/>
        <v>0</v>
      </c>
    </row>
    <row r="17" spans="1:10" x14ac:dyDescent="0.25">
      <c r="A17" s="55" t="s">
        <v>144</v>
      </c>
      <c r="B17" s="169" t="s">
        <v>233</v>
      </c>
      <c r="C17" s="370"/>
      <c r="D17" s="222"/>
      <c r="E17" s="222"/>
      <c r="F17" s="222"/>
      <c r="G17" s="222"/>
      <c r="H17" s="354"/>
      <c r="I17" s="354"/>
      <c r="J17" s="56">
        <f t="shared" si="0"/>
        <v>0</v>
      </c>
    </row>
    <row r="18" spans="1:10" x14ac:dyDescent="0.25">
      <c r="A18" s="55" t="s">
        <v>145</v>
      </c>
      <c r="B18" s="169" t="s">
        <v>233</v>
      </c>
      <c r="C18" s="370"/>
      <c r="D18" s="222"/>
      <c r="E18" s="222"/>
      <c r="F18" s="222"/>
      <c r="G18" s="222"/>
      <c r="H18" s="354"/>
      <c r="I18" s="354"/>
      <c r="J18" s="56">
        <f t="shared" si="0"/>
        <v>0</v>
      </c>
    </row>
    <row r="19" spans="1:10" x14ac:dyDescent="0.25">
      <c r="A19" s="55" t="s">
        <v>146</v>
      </c>
      <c r="B19" s="169" t="s">
        <v>233</v>
      </c>
      <c r="C19" s="370"/>
      <c r="D19" s="222"/>
      <c r="E19" s="222"/>
      <c r="F19" s="222"/>
      <c r="G19" s="222"/>
      <c r="H19" s="354"/>
      <c r="I19" s="354"/>
      <c r="J19" s="56">
        <f t="shared" si="0"/>
        <v>0</v>
      </c>
    </row>
    <row r="20" spans="1:10" ht="15.75" thickBot="1" x14ac:dyDescent="0.3">
      <c r="A20" s="55" t="s">
        <v>147</v>
      </c>
      <c r="B20" s="169" t="s">
        <v>233</v>
      </c>
      <c r="C20" s="370"/>
      <c r="D20" s="222"/>
      <c r="E20" s="222"/>
      <c r="F20" s="222"/>
      <c r="G20" s="222"/>
      <c r="H20" s="354"/>
      <c r="I20" s="354"/>
      <c r="J20" s="56">
        <f t="shared" si="0"/>
        <v>0</v>
      </c>
    </row>
    <row r="21" spans="1:10" ht="15.75" thickBot="1" x14ac:dyDescent="0.3">
      <c r="A21" s="58" t="s">
        <v>539</v>
      </c>
      <c r="B21" s="114"/>
      <c r="C21" s="346"/>
      <c r="D21" s="82">
        <f>SUM(D9:D20)</f>
        <v>0</v>
      </c>
      <c r="E21" s="82">
        <f t="shared" ref="E21:J21" si="1">SUM(E9:E20)</f>
        <v>0</v>
      </c>
      <c r="F21" s="82">
        <f t="shared" ref="F21" si="2">SUM(F9:F20)</f>
        <v>0</v>
      </c>
      <c r="G21" s="82">
        <f t="shared" si="1"/>
        <v>0</v>
      </c>
      <c r="H21" s="82">
        <f t="shared" si="1"/>
        <v>0</v>
      </c>
      <c r="I21" s="82">
        <f>SUM(I9:I20)</f>
        <v>0</v>
      </c>
      <c r="J21" s="57">
        <f t="shared" si="1"/>
        <v>0</v>
      </c>
    </row>
    <row r="25" spans="1:10" hidden="1" x14ac:dyDescent="0.25">
      <c r="B25" t="s">
        <v>233</v>
      </c>
    </row>
    <row r="26" spans="1:10" hidden="1" x14ac:dyDescent="0.25">
      <c r="B26" s="378" t="s">
        <v>551</v>
      </c>
    </row>
    <row r="27" spans="1:10" hidden="1" x14ac:dyDescent="0.25">
      <c r="B27" t="s">
        <v>552</v>
      </c>
    </row>
    <row r="28" spans="1:10" hidden="1" x14ac:dyDescent="0.25">
      <c r="B28" t="s">
        <v>553</v>
      </c>
    </row>
  </sheetData>
  <sheetProtection algorithmName="SHA-512" hashValue="HHfJuKsWSl2s1x7mxaqxI/7ehWnZ9cRz2ZNM7GOoreW8OKREEvKJUN8k+niNNv1oYZCNB/6/hMW5AXP6J4NfTg==" saltValue="1PT84ANrmePBOOzeP23FwQ==" spinCount="100000" sheet="1" objects="1" scenarios="1" selectLockedCells="1"/>
  <mergeCells count="1">
    <mergeCell ref="A1:J1"/>
  </mergeCells>
  <dataValidations count="2">
    <dataValidation allowBlank="1" showInputMessage="1" showErrorMessage="1" promptTitle="DO NOT INPUT DATA!" prompt="These cells are auto-populated. Do not enter data. " sqref="J9:J21 D21:J21" xr:uid="{EAF8FCFD-D9BB-4298-B23B-D17505252613}"/>
    <dataValidation type="list" allowBlank="1" showInputMessage="1" showErrorMessage="1" sqref="B9:B20" xr:uid="{B8D52DBF-1D17-4844-8078-D241534200EC}">
      <formula1>$B$25:$B$28</formula1>
    </dataValidation>
  </dataValidations>
  <pageMargins left="0.70866141732283472" right="0.70866141732283472" top="0.74803149606299213" bottom="0.74803149606299213" header="0.31496062992125984" footer="0.31496062992125984"/>
  <pageSetup paperSize="9" scale="56" orientation="portrait" horizontalDpi="4294967293"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F464-355A-43B6-8C59-32749A42312E}">
  <sheetPr>
    <tabColor rgb="FF00B050"/>
  </sheetPr>
  <dimension ref="A1:B1"/>
  <sheetViews>
    <sheetView workbookViewId="0">
      <selection activeCell="G18" sqref="G18"/>
    </sheetView>
  </sheetViews>
  <sheetFormatPr defaultRowHeight="15" x14ac:dyDescent="0.25"/>
  <sheetData>
    <row r="1" spans="1:2" ht="21" x14ac:dyDescent="0.35">
      <c r="A1" s="208" t="s">
        <v>429</v>
      </c>
      <c r="B1" s="20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F6D0-D0B9-4E7C-952F-0ACB28B12293}">
  <sheetPr codeName="Sheet7">
    <tabColor rgb="FFFF0000"/>
    <pageSetUpPr fitToPage="1"/>
  </sheetPr>
  <dimension ref="A7:G22"/>
  <sheetViews>
    <sheetView zoomScaleNormal="100" zoomScaleSheetLayoutView="90" workbookViewId="0">
      <pane xSplit="5" ySplit="19" topLeftCell="F20" activePane="bottomRight" state="frozen"/>
      <selection pane="topRight" activeCell="G1" sqref="G1"/>
      <selection pane="bottomLeft" activeCell="A16" sqref="A16"/>
      <selection pane="bottomRight" activeCell="E18" sqref="E18"/>
    </sheetView>
  </sheetViews>
  <sheetFormatPr defaultRowHeight="15" x14ac:dyDescent="0.25"/>
  <cols>
    <col min="1" max="1" width="42.28515625" customWidth="1"/>
    <col min="2" max="6" width="15.140625" customWidth="1"/>
  </cols>
  <sheetData>
    <row r="7" spans="1:6" ht="15.75" thickBot="1" x14ac:dyDescent="0.3"/>
    <row r="8" spans="1:6" x14ac:dyDescent="0.25">
      <c r="A8" s="473" t="s">
        <v>249</v>
      </c>
      <c r="B8" s="474"/>
      <c r="C8" s="474"/>
      <c r="D8" s="474"/>
      <c r="E8" s="474"/>
      <c r="F8" s="475"/>
    </row>
    <row r="9" spans="1:6" x14ac:dyDescent="0.25">
      <c r="A9" s="428"/>
      <c r="B9" s="429" t="s">
        <v>109</v>
      </c>
      <c r="C9" s="429" t="s">
        <v>110</v>
      </c>
      <c r="D9" s="429" t="s">
        <v>111</v>
      </c>
      <c r="E9" s="429" t="s">
        <v>112</v>
      </c>
      <c r="F9" s="430"/>
    </row>
    <row r="10" spans="1:6" x14ac:dyDescent="0.25">
      <c r="A10" s="98"/>
      <c r="B10" s="97" t="s">
        <v>117</v>
      </c>
      <c r="C10" s="97" t="s">
        <v>125</v>
      </c>
      <c r="D10" s="97" t="s">
        <v>219</v>
      </c>
      <c r="E10" s="97" t="s">
        <v>351</v>
      </c>
      <c r="F10" s="381" t="s">
        <v>554</v>
      </c>
    </row>
    <row r="11" spans="1:6" x14ac:dyDescent="0.25">
      <c r="A11" s="392" t="s">
        <v>558</v>
      </c>
      <c r="B11" s="393">
        <f>'Step 1A.'!C48+'1B. '!C39</f>
        <v>0</v>
      </c>
      <c r="C11" s="393">
        <f>'Step 1A.'!D48+'1B. '!D39</f>
        <v>0</v>
      </c>
      <c r="D11" s="393">
        <f>'Step 1A.'!E48+'1B. '!E39</f>
        <v>0</v>
      </c>
      <c r="E11" s="393">
        <f>'Step 1A.'!F48+'1B. '!F39</f>
        <v>0</v>
      </c>
      <c r="F11" s="393">
        <f t="shared" ref="F11:F12" si="0">SUM(B11:E11)</f>
        <v>0</v>
      </c>
    </row>
    <row r="12" spans="1:6" x14ac:dyDescent="0.25">
      <c r="A12" s="392" t="s">
        <v>560</v>
      </c>
      <c r="B12" s="393">
        <f>'Step 1A.'!C61</f>
        <v>0</v>
      </c>
      <c r="C12" s="393">
        <f>'Step 1A.'!D61</f>
        <v>0</v>
      </c>
      <c r="D12" s="393">
        <f>'Step 1A.'!E61</f>
        <v>0</v>
      </c>
      <c r="E12" s="393">
        <f>'Step 1A.'!F61</f>
        <v>0</v>
      </c>
      <c r="F12" s="393">
        <f t="shared" si="0"/>
        <v>0</v>
      </c>
    </row>
    <row r="13" spans="1:6" x14ac:dyDescent="0.25">
      <c r="A13" s="392" t="s">
        <v>559</v>
      </c>
      <c r="B13" s="393">
        <f>'Step 1A.'!C65</f>
        <v>0</v>
      </c>
      <c r="C13" s="393">
        <f>'Step 1A.'!D65</f>
        <v>0</v>
      </c>
      <c r="D13" s="393">
        <f>'Step 1A.'!E65</f>
        <v>0</v>
      </c>
      <c r="E13" s="393">
        <f>'Step 1A.'!F65</f>
        <v>0</v>
      </c>
      <c r="F13" s="393">
        <f t="shared" ref="F13:F18" si="1">SUM(B13:E13)</f>
        <v>0</v>
      </c>
    </row>
    <row r="14" spans="1:6" x14ac:dyDescent="0.25">
      <c r="A14" s="91" t="s">
        <v>561</v>
      </c>
      <c r="B14" s="93">
        <f>'Step 2.'!D21</f>
        <v>0</v>
      </c>
      <c r="C14" s="93">
        <f>'Step 2.'!E21</f>
        <v>0</v>
      </c>
      <c r="D14" s="93">
        <f>'Step 2.'!F21</f>
        <v>0</v>
      </c>
      <c r="E14" s="93">
        <f>'Step 2.'!G21</f>
        <v>0</v>
      </c>
      <c r="F14" s="93">
        <f t="shared" si="1"/>
        <v>0</v>
      </c>
    </row>
    <row r="15" spans="1:6" x14ac:dyDescent="0.25">
      <c r="A15" s="91" t="s">
        <v>562</v>
      </c>
      <c r="B15" s="93">
        <f>'Step 3.'!D24</f>
        <v>0</v>
      </c>
      <c r="C15" s="93">
        <f>'Step 3.'!E24</f>
        <v>0</v>
      </c>
      <c r="D15" s="93">
        <f>'Step 3.'!F24</f>
        <v>0</v>
      </c>
      <c r="E15" s="93">
        <f>'Step 3.'!G24</f>
        <v>0</v>
      </c>
      <c r="F15" s="93">
        <f t="shared" si="1"/>
        <v>0</v>
      </c>
    </row>
    <row r="16" spans="1:6" x14ac:dyDescent="0.25">
      <c r="A16" s="91" t="s">
        <v>563</v>
      </c>
      <c r="B16" s="93">
        <f>'Step 4.'!D20</f>
        <v>0</v>
      </c>
      <c r="C16" s="93">
        <f>'Step 4.'!E20</f>
        <v>0</v>
      </c>
      <c r="D16" s="93">
        <f>'Step 4.'!F20</f>
        <v>0</v>
      </c>
      <c r="E16" s="93">
        <f>'Step 4.'!G20</f>
        <v>0</v>
      </c>
      <c r="F16" s="93">
        <f t="shared" si="1"/>
        <v>0</v>
      </c>
    </row>
    <row r="17" spans="1:7" x14ac:dyDescent="0.25">
      <c r="A17" s="91" t="s">
        <v>564</v>
      </c>
      <c r="B17" s="93">
        <f>'Step 5.'!D21</f>
        <v>0</v>
      </c>
      <c r="C17" s="93">
        <f>'Step 5.'!E21</f>
        <v>0</v>
      </c>
      <c r="D17" s="93">
        <f>'Step 5.'!F21</f>
        <v>0</v>
      </c>
      <c r="E17" s="93">
        <f>'Step 5.'!G21</f>
        <v>0</v>
      </c>
      <c r="F17" s="93">
        <f t="shared" si="1"/>
        <v>0</v>
      </c>
    </row>
    <row r="18" spans="1:7" x14ac:dyDescent="0.25">
      <c r="A18" s="91" t="s">
        <v>565</v>
      </c>
      <c r="B18" s="93">
        <f>'Step 6.'!D21</f>
        <v>0</v>
      </c>
      <c r="C18" s="93">
        <f>'Step 6.'!E21</f>
        <v>0</v>
      </c>
      <c r="D18" s="93">
        <f>'Step 6.'!F21</f>
        <v>0</v>
      </c>
      <c r="E18" s="93">
        <f>'Step 6.'!G21</f>
        <v>0</v>
      </c>
      <c r="F18" s="93">
        <f t="shared" si="1"/>
        <v>0</v>
      </c>
    </row>
    <row r="19" spans="1:7" x14ac:dyDescent="0.25">
      <c r="A19" s="382" t="s">
        <v>575</v>
      </c>
      <c r="B19" s="427">
        <f>SUM(B11:B18)</f>
        <v>0</v>
      </c>
      <c r="C19" s="427">
        <f>SUM(C11:C18)</f>
        <v>0</v>
      </c>
      <c r="D19" s="427">
        <f>SUM(D11:D18)</f>
        <v>0</v>
      </c>
      <c r="E19" s="427">
        <f>SUM(E11:E18)</f>
        <v>0</v>
      </c>
      <c r="F19" s="427">
        <f>SUM(F11:F18)</f>
        <v>0</v>
      </c>
      <c r="G19" s="445" t="s">
        <v>577</v>
      </c>
    </row>
    <row r="22" spans="1:7" x14ac:dyDescent="0.25">
      <c r="A22" t="s">
        <v>576</v>
      </c>
    </row>
  </sheetData>
  <mergeCells count="1">
    <mergeCell ref="A8:F8"/>
  </mergeCells>
  <phoneticPr fontId="20" type="noConversion"/>
  <dataValidations xWindow="465" yWindow="709" count="1">
    <dataValidation allowBlank="1" showInputMessage="1" showErrorMessage="1" promptTitle="Do not edit!" prompt="These cells autopopulate from information you provide in Steps 1-4. " sqref="A8:F21" xr:uid="{95918D34-7295-4DDD-B2B0-86B0BD494B53}"/>
  </dataValidations>
  <pageMargins left="0.70866141732283472" right="0.70866141732283472" top="0.74803149606299213" bottom="0.74803149606299213" header="0.31496062992125984" footer="0.31496062992125984"/>
  <pageSetup paperSize="9" scale="73" orientation="portrait" horizontalDpi="4294967293"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8B29-3C34-46D1-91DA-998B6BBD4728}">
  <dimension ref="A1:F997"/>
  <sheetViews>
    <sheetView workbookViewId="0">
      <selection activeCell="G16" sqref="G16"/>
    </sheetView>
  </sheetViews>
  <sheetFormatPr defaultColWidth="14.42578125" defaultRowHeight="15" x14ac:dyDescent="0.25"/>
  <cols>
    <col min="1" max="1" width="71.140625" customWidth="1"/>
    <col min="2" max="2" width="12.5703125" customWidth="1"/>
    <col min="3" max="5" width="9.85546875" customWidth="1"/>
    <col min="6" max="6" width="8.85546875" customWidth="1"/>
    <col min="7" max="26" width="8.7109375" customWidth="1"/>
  </cols>
  <sheetData>
    <row r="1" spans="1:6" x14ac:dyDescent="0.25">
      <c r="A1" s="431" t="s">
        <v>200</v>
      </c>
    </row>
    <row r="3" spans="1:6" x14ac:dyDescent="0.25">
      <c r="B3" s="432">
        <v>2</v>
      </c>
      <c r="C3" s="432">
        <v>3</v>
      </c>
      <c r="D3" s="432">
        <v>4</v>
      </c>
      <c r="E3" s="432">
        <v>5</v>
      </c>
      <c r="F3" s="432">
        <v>6</v>
      </c>
    </row>
    <row r="4" spans="1:6" ht="15.75" thickBot="1" x14ac:dyDescent="0.3">
      <c r="B4" s="433" t="s">
        <v>580</v>
      </c>
      <c r="C4" s="433" t="s">
        <v>581</v>
      </c>
      <c r="D4" s="434" t="s">
        <v>582</v>
      </c>
      <c r="E4" s="434" t="s">
        <v>583</v>
      </c>
      <c r="F4" s="434" t="s">
        <v>584</v>
      </c>
    </row>
    <row r="5" spans="1:6" x14ac:dyDescent="0.25">
      <c r="A5" s="435" t="s">
        <v>15</v>
      </c>
      <c r="B5" s="436" t="s">
        <v>6</v>
      </c>
      <c r="C5" s="437" t="s">
        <v>6</v>
      </c>
      <c r="D5" s="436" t="s">
        <v>6</v>
      </c>
      <c r="E5" s="436" t="s">
        <v>6</v>
      </c>
      <c r="F5" s="436" t="s">
        <v>6</v>
      </c>
    </row>
    <row r="6" spans="1:6" x14ac:dyDescent="0.25">
      <c r="A6" s="438" t="s">
        <v>368</v>
      </c>
      <c r="B6" s="439">
        <v>19000</v>
      </c>
      <c r="C6" s="440">
        <f t="shared" ref="C6:E6" si="0">B6</f>
        <v>19000</v>
      </c>
      <c r="D6" s="441">
        <f t="shared" si="0"/>
        <v>19000</v>
      </c>
      <c r="E6" s="441">
        <f t="shared" si="0"/>
        <v>19000</v>
      </c>
      <c r="F6" s="441">
        <v>19000</v>
      </c>
    </row>
    <row r="7" spans="1:6" x14ac:dyDescent="0.25">
      <c r="A7" s="438" t="s">
        <v>220</v>
      </c>
      <c r="B7" s="439">
        <v>19000</v>
      </c>
      <c r="C7" s="442">
        <v>19000</v>
      </c>
      <c r="D7" s="441">
        <v>0</v>
      </c>
      <c r="E7" s="441">
        <v>0</v>
      </c>
      <c r="F7" s="441">
        <v>0</v>
      </c>
    </row>
    <row r="8" spans="1:6" x14ac:dyDescent="0.25">
      <c r="A8" s="438" t="s">
        <v>586</v>
      </c>
      <c r="B8" s="439">
        <v>5500</v>
      </c>
      <c r="C8" s="440">
        <f t="shared" ref="C8:E8" si="1">B8</f>
        <v>5500</v>
      </c>
      <c r="D8" s="441">
        <f t="shared" si="1"/>
        <v>5500</v>
      </c>
      <c r="E8" s="441">
        <f t="shared" si="1"/>
        <v>5500</v>
      </c>
      <c r="F8" s="441">
        <v>5500</v>
      </c>
    </row>
    <row r="12" spans="1:6" x14ac:dyDescent="0.25">
      <c r="A12" s="431" t="s">
        <v>201</v>
      </c>
    </row>
    <row r="13" spans="1:6" x14ac:dyDescent="0.25">
      <c r="A13" s="432" t="s">
        <v>202</v>
      </c>
      <c r="B13" s="72" t="s">
        <v>578</v>
      </c>
    </row>
    <row r="14" spans="1:6" x14ac:dyDescent="0.25">
      <c r="A14" s="432" t="s">
        <v>205</v>
      </c>
    </row>
    <row r="15" spans="1:6" x14ac:dyDescent="0.25">
      <c r="A15" s="432" t="s">
        <v>207</v>
      </c>
    </row>
    <row r="16" spans="1:6" ht="75" customHeight="1" x14ac:dyDescent="0.25">
      <c r="A16" s="476" t="s">
        <v>222</v>
      </c>
      <c r="B16" s="477"/>
      <c r="C16" s="477"/>
      <c r="D16" s="477"/>
      <c r="E16" s="477"/>
      <c r="F16" s="477"/>
    </row>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
    <mergeCell ref="A16:F16"/>
  </mergeCells>
  <hyperlinks>
    <hyperlink ref="B13" r:id="rId1" xr:uid="{47FEC4B5-7CCE-40BA-BEA2-99BD0063F999}"/>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F3D9-4D8F-4A1C-AF11-9E0F61A59D66}">
  <sheetPr codeName="Sheet14"/>
  <dimension ref="A1:AK60"/>
  <sheetViews>
    <sheetView workbookViewId="0">
      <pane ySplit="5" topLeftCell="A6" activePane="bottomLeft" state="frozen"/>
      <selection activeCell="H75" sqref="H75"/>
      <selection pane="bottomLeft" activeCell="G53" sqref="G53:G56"/>
    </sheetView>
  </sheetViews>
  <sheetFormatPr defaultRowHeight="15" x14ac:dyDescent="0.25"/>
  <cols>
    <col min="1" max="1" width="65.5703125" bestFit="1" customWidth="1"/>
    <col min="2" max="2" width="5.7109375" bestFit="1" customWidth="1"/>
    <col min="3" max="3" width="12.28515625" style="101" hidden="1" customWidth="1"/>
    <col min="4" max="6" width="0" hidden="1" customWidth="1"/>
    <col min="7" max="7" width="12.28515625" style="2" bestFit="1" customWidth="1"/>
    <col min="8" max="8" width="18.28515625" customWidth="1"/>
    <col min="9" max="9" width="18.42578125" customWidth="1"/>
    <col min="10" max="10" width="14.28515625" customWidth="1"/>
    <col min="11" max="11" width="12" bestFit="1" customWidth="1"/>
    <col min="12" max="12" width="15" bestFit="1" customWidth="1"/>
    <col min="29" max="29" width="12.28515625" style="141" bestFit="1" customWidth="1"/>
    <col min="35" max="35" width="30.7109375" style="402" customWidth="1"/>
    <col min="36" max="36" width="9.140625" style="402"/>
    <col min="37" max="37" width="12.28515625" style="403" bestFit="1" customWidth="1"/>
  </cols>
  <sheetData>
    <row r="1" spans="1:37" ht="15.75" thickBot="1" x14ac:dyDescent="0.3">
      <c r="A1" s="1" t="s">
        <v>10</v>
      </c>
      <c r="I1" s="481" t="s">
        <v>9</v>
      </c>
      <c r="J1" s="482"/>
      <c r="K1" s="291" t="s">
        <v>469</v>
      </c>
    </row>
    <row r="2" spans="1:37" ht="14.45" customHeight="1" x14ac:dyDescent="0.25">
      <c r="A2" t="s">
        <v>514</v>
      </c>
      <c r="I2" s="22" t="s">
        <v>3</v>
      </c>
      <c r="J2" s="23">
        <v>0</v>
      </c>
      <c r="K2" s="23">
        <f>J2+J3+100%</f>
        <v>1</v>
      </c>
    </row>
    <row r="3" spans="1:37" x14ac:dyDescent="0.25">
      <c r="I3" s="22" t="s">
        <v>13</v>
      </c>
      <c r="J3" s="23">
        <v>0</v>
      </c>
    </row>
    <row r="4" spans="1:37" x14ac:dyDescent="0.25">
      <c r="I4" s="22" t="s">
        <v>14</v>
      </c>
      <c r="J4" s="31">
        <v>0</v>
      </c>
    </row>
    <row r="5" spans="1:37" ht="15.75" thickBot="1" x14ac:dyDescent="0.3">
      <c r="A5" s="19"/>
      <c r="I5" s="18" t="s">
        <v>119</v>
      </c>
      <c r="J5" s="38">
        <v>1.03</v>
      </c>
    </row>
    <row r="6" spans="1:37" s="44" customFormat="1" ht="15.75" thickBot="1" x14ac:dyDescent="0.3">
      <c r="A6" s="43">
        <v>1</v>
      </c>
      <c r="B6" s="44">
        <v>2</v>
      </c>
      <c r="C6" s="44">
        <v>3</v>
      </c>
      <c r="D6" s="44">
        <v>4</v>
      </c>
      <c r="E6" s="43">
        <v>5</v>
      </c>
      <c r="F6" s="44">
        <v>6</v>
      </c>
      <c r="G6" s="43">
        <v>7</v>
      </c>
      <c r="H6" s="44">
        <v>8</v>
      </c>
      <c r="I6" s="43">
        <v>9</v>
      </c>
      <c r="J6" s="44">
        <v>10</v>
      </c>
      <c r="K6" s="43">
        <v>11</v>
      </c>
      <c r="L6" s="44">
        <v>12</v>
      </c>
      <c r="M6" s="43">
        <v>13</v>
      </c>
      <c r="N6" s="44">
        <v>14</v>
      </c>
      <c r="O6" s="43">
        <v>15</v>
      </c>
      <c r="P6" s="44">
        <v>16</v>
      </c>
      <c r="Q6" s="43">
        <v>17</v>
      </c>
      <c r="R6" s="44">
        <v>18</v>
      </c>
      <c r="S6" s="43">
        <v>19</v>
      </c>
      <c r="T6" s="44">
        <v>20</v>
      </c>
      <c r="U6" s="43">
        <v>21</v>
      </c>
      <c r="V6" s="44">
        <v>22</v>
      </c>
      <c r="W6" s="44">
        <v>23</v>
      </c>
      <c r="X6" s="44">
        <v>24</v>
      </c>
      <c r="Y6" s="44">
        <v>25</v>
      </c>
      <c r="Z6" s="44">
        <v>26</v>
      </c>
      <c r="AC6" s="43">
        <v>7</v>
      </c>
      <c r="AI6" s="404"/>
      <c r="AJ6" s="404"/>
      <c r="AK6" s="405">
        <v>7</v>
      </c>
    </row>
    <row r="7" spans="1:37" x14ac:dyDescent="0.25">
      <c r="C7" s="478" t="s">
        <v>276</v>
      </c>
      <c r="D7" s="479"/>
      <c r="E7" s="479"/>
      <c r="F7" s="480"/>
      <c r="G7" s="478" t="s">
        <v>117</v>
      </c>
      <c r="H7" s="479"/>
      <c r="I7" s="479"/>
      <c r="J7" s="479"/>
      <c r="K7" s="478" t="s">
        <v>125</v>
      </c>
      <c r="L7" s="479"/>
      <c r="M7" s="479"/>
      <c r="N7" s="479"/>
      <c r="O7" s="478" t="s">
        <v>219</v>
      </c>
      <c r="P7" s="479"/>
      <c r="Q7" s="479"/>
      <c r="R7" s="479"/>
      <c r="S7" s="478" t="s">
        <v>351</v>
      </c>
      <c r="T7" s="479"/>
      <c r="U7" s="479"/>
      <c r="V7" s="480"/>
      <c r="W7" s="478" t="s">
        <v>513</v>
      </c>
      <c r="X7" s="479"/>
      <c r="Y7" s="479"/>
      <c r="Z7" s="480"/>
      <c r="AC7" s="129" t="s">
        <v>276</v>
      </c>
      <c r="AK7" s="406" t="s">
        <v>574</v>
      </c>
    </row>
    <row r="8" spans="1:37" ht="60.75" thickBot="1" x14ac:dyDescent="0.3">
      <c r="C8" s="153" t="s">
        <v>1</v>
      </c>
      <c r="D8" s="21" t="s">
        <v>7</v>
      </c>
      <c r="E8" s="21" t="s">
        <v>8</v>
      </c>
      <c r="F8" s="33" t="s">
        <v>2</v>
      </c>
      <c r="G8" s="32" t="s">
        <v>1</v>
      </c>
      <c r="H8" s="21" t="s">
        <v>7</v>
      </c>
      <c r="I8" s="21" t="s">
        <v>8</v>
      </c>
      <c r="J8" s="33" t="s">
        <v>2</v>
      </c>
      <c r="K8" s="32" t="s">
        <v>1</v>
      </c>
      <c r="L8" s="21" t="s">
        <v>7</v>
      </c>
      <c r="M8" s="21" t="s">
        <v>8</v>
      </c>
      <c r="N8" s="21" t="s">
        <v>2</v>
      </c>
      <c r="O8" s="32" t="s">
        <v>1</v>
      </c>
      <c r="P8" s="21" t="s">
        <v>7</v>
      </c>
      <c r="Q8" s="21" t="s">
        <v>8</v>
      </c>
      <c r="R8" s="21" t="s">
        <v>2</v>
      </c>
      <c r="S8" s="32" t="s">
        <v>1</v>
      </c>
      <c r="T8" s="21" t="s">
        <v>7</v>
      </c>
      <c r="U8" s="21" t="s">
        <v>8</v>
      </c>
      <c r="V8" s="21" t="s">
        <v>2</v>
      </c>
      <c r="W8" s="32" t="s">
        <v>1</v>
      </c>
      <c r="X8" s="21" t="s">
        <v>7</v>
      </c>
      <c r="Y8" s="21" t="s">
        <v>8</v>
      </c>
      <c r="Z8" s="33" t="s">
        <v>2</v>
      </c>
      <c r="AC8" s="142" t="s">
        <v>1</v>
      </c>
      <c r="AK8" s="407" t="s">
        <v>1</v>
      </c>
    </row>
    <row r="9" spans="1:37" ht="15.75" thickBot="1" x14ac:dyDescent="0.3">
      <c r="A9" s="20"/>
      <c r="B9" s="76" t="s">
        <v>0</v>
      </c>
      <c r="C9" s="139" t="s">
        <v>5</v>
      </c>
      <c r="D9" s="76" t="s">
        <v>5</v>
      </c>
      <c r="E9" s="76" t="s">
        <v>6</v>
      </c>
      <c r="F9" s="77" t="s">
        <v>6</v>
      </c>
      <c r="G9" s="75" t="s">
        <v>5</v>
      </c>
      <c r="H9" s="76" t="s">
        <v>5</v>
      </c>
      <c r="I9" s="76" t="s">
        <v>6</v>
      </c>
      <c r="J9" s="77" t="s">
        <v>6</v>
      </c>
      <c r="K9" s="75" t="s">
        <v>5</v>
      </c>
      <c r="L9" s="76" t="s">
        <v>5</v>
      </c>
      <c r="M9" s="76" t="s">
        <v>6</v>
      </c>
      <c r="N9" s="76" t="s">
        <v>6</v>
      </c>
      <c r="O9" s="75" t="s">
        <v>5</v>
      </c>
      <c r="P9" s="76" t="s">
        <v>5</v>
      </c>
      <c r="Q9" s="76" t="s">
        <v>6</v>
      </c>
      <c r="R9" s="76" t="s">
        <v>6</v>
      </c>
      <c r="S9" s="75" t="s">
        <v>5</v>
      </c>
      <c r="T9" s="76" t="s">
        <v>5</v>
      </c>
      <c r="U9" s="76" t="s">
        <v>6</v>
      </c>
      <c r="V9" s="76" t="s">
        <v>6</v>
      </c>
      <c r="W9" s="75" t="s">
        <v>5</v>
      </c>
      <c r="X9" s="76" t="s">
        <v>5</v>
      </c>
      <c r="Y9" s="76" t="s">
        <v>6</v>
      </c>
      <c r="Z9" s="77" t="s">
        <v>6</v>
      </c>
      <c r="AC9" s="143" t="s">
        <v>5</v>
      </c>
      <c r="AI9" s="408"/>
      <c r="AJ9" s="409" t="s">
        <v>0</v>
      </c>
      <c r="AK9" s="410" t="s">
        <v>5</v>
      </c>
    </row>
    <row r="10" spans="1:37" x14ac:dyDescent="0.25">
      <c r="A10" s="26" t="s">
        <v>84</v>
      </c>
      <c r="B10" s="27">
        <v>1</v>
      </c>
      <c r="C10" s="81">
        <v>27879.877167942373</v>
      </c>
      <c r="D10" s="28">
        <f t="shared" ref="D10:D22" si="0">C10*$J$2</f>
        <v>0</v>
      </c>
      <c r="E10" s="28">
        <f t="shared" ref="E10:E22" si="1">C10*$J$3</f>
        <v>0</v>
      </c>
      <c r="F10" s="29">
        <f t="shared" ref="F10:F22" si="2">SUM(C10:E10)</f>
        <v>27879.877167942373</v>
      </c>
      <c r="G10" s="37">
        <f t="shared" ref="G10:G22" si="3">AK10*1.03</f>
        <v>30926.057921219468</v>
      </c>
      <c r="H10" s="28">
        <f t="shared" ref="H10:H56" si="4">G10*$J$2</f>
        <v>0</v>
      </c>
      <c r="I10" s="28">
        <f>G10*$J$3</f>
        <v>0</v>
      </c>
      <c r="J10" s="29">
        <f>SUM(G10:I10)</f>
        <v>30926.057921219468</v>
      </c>
      <c r="K10" s="37">
        <f>G10*$J$5</f>
        <v>31853.839658856054</v>
      </c>
      <c r="L10" s="28">
        <f t="shared" ref="L10:L57" si="5">K10*$J$2</f>
        <v>0</v>
      </c>
      <c r="M10" s="28">
        <f>K10*$J$3</f>
        <v>0</v>
      </c>
      <c r="N10" s="28">
        <f>SUM(K10:M10)</f>
        <v>31853.839658856054</v>
      </c>
      <c r="O10" s="37">
        <f>K10*$J$5</f>
        <v>32809.454848621739</v>
      </c>
      <c r="P10" s="28">
        <f t="shared" ref="P10:P58" si="6">O10*$J$2</f>
        <v>0</v>
      </c>
      <c r="Q10" s="28">
        <f>O10*$J$3</f>
        <v>0</v>
      </c>
      <c r="R10" s="28">
        <f>SUM(O10:Q10)</f>
        <v>32809.454848621739</v>
      </c>
      <c r="S10" s="37">
        <f>O10*$J$5</f>
        <v>33793.73849408039</v>
      </c>
      <c r="T10" s="28">
        <f t="shared" ref="T10:T59" si="7">S10*$J$2</f>
        <v>0</v>
      </c>
      <c r="U10" s="28">
        <f>S10*$J$3</f>
        <v>0</v>
      </c>
      <c r="V10" s="28">
        <f>SUM(S10:U10)</f>
        <v>33793.73849408039</v>
      </c>
      <c r="W10" s="37">
        <f>S10*$J$5</f>
        <v>34807.550648902805</v>
      </c>
      <c r="X10" s="28">
        <f t="shared" ref="X10:X22" si="8">W10*$J$2</f>
        <v>0</v>
      </c>
      <c r="Y10" s="28">
        <f>W10*$J$3</f>
        <v>0</v>
      </c>
      <c r="Z10" s="29">
        <f>SUM(W10:Y10)</f>
        <v>34807.550648902805</v>
      </c>
      <c r="AC10" s="144">
        <v>27879.877167942373</v>
      </c>
      <c r="AI10" s="411" t="s">
        <v>84</v>
      </c>
      <c r="AJ10" s="412">
        <v>1</v>
      </c>
      <c r="AK10" s="413">
        <v>30025.29895264026</v>
      </c>
    </row>
    <row r="11" spans="1:37" x14ac:dyDescent="0.25">
      <c r="A11" s="24" t="s">
        <v>85</v>
      </c>
      <c r="B11" s="2">
        <v>2</v>
      </c>
      <c r="C11" s="78">
        <v>28653.051975115184</v>
      </c>
      <c r="D11" s="7">
        <f t="shared" si="0"/>
        <v>0</v>
      </c>
      <c r="E11" s="7">
        <f t="shared" si="1"/>
        <v>0</v>
      </c>
      <c r="F11" s="8">
        <f t="shared" si="2"/>
        <v>28653.051975115184</v>
      </c>
      <c r="G11" s="78">
        <f t="shared" si="3"/>
        <v>31762.724297207693</v>
      </c>
      <c r="H11" s="7">
        <f t="shared" si="4"/>
        <v>0</v>
      </c>
      <c r="I11" s="7">
        <f t="shared" ref="I11:I22" si="9">G11*$J$3</f>
        <v>0</v>
      </c>
      <c r="J11" s="8">
        <f t="shared" ref="J11:J22" si="10">SUM(G11:I11)</f>
        <v>31762.724297207693</v>
      </c>
      <c r="K11" s="34">
        <f t="shared" ref="K11:K56" si="11">G11*$J$5</f>
        <v>32715.606026123925</v>
      </c>
      <c r="L11" s="7">
        <f t="shared" si="5"/>
        <v>0</v>
      </c>
      <c r="M11" s="7">
        <f t="shared" ref="M11:M22" si="12">K11*$J$3</f>
        <v>0</v>
      </c>
      <c r="N11" s="7">
        <f t="shared" ref="N11:N38" si="13">SUM(K11:M11)</f>
        <v>32715.606026123925</v>
      </c>
      <c r="O11" s="34">
        <f t="shared" ref="O11:O57" si="14">K11*$J$5</f>
        <v>33697.074206907644</v>
      </c>
      <c r="P11" s="7">
        <f t="shared" si="6"/>
        <v>0</v>
      </c>
      <c r="Q11" s="7">
        <f t="shared" ref="Q11:Q22" si="15">O11*$J$3</f>
        <v>0</v>
      </c>
      <c r="R11" s="7">
        <f t="shared" ref="R11:R46" si="16">SUM(O11:Q11)</f>
        <v>33697.074206907644</v>
      </c>
      <c r="S11" s="34">
        <f t="shared" ref="S11:S58" si="17">O11*$J$5</f>
        <v>34707.986433114871</v>
      </c>
      <c r="T11" s="7">
        <f t="shared" si="7"/>
        <v>0</v>
      </c>
      <c r="U11" s="7">
        <f t="shared" ref="U11:U22" si="18">S11*$J$3</f>
        <v>0</v>
      </c>
      <c r="V11" s="7">
        <f t="shared" ref="V11:V59" si="19">SUM(S11:U11)</f>
        <v>34707.986433114871</v>
      </c>
      <c r="W11" s="34">
        <f t="shared" ref="W11:W22" si="20">S11*$J$5</f>
        <v>35749.226026108321</v>
      </c>
      <c r="X11" s="7">
        <f t="shared" si="8"/>
        <v>0</v>
      </c>
      <c r="Y11" s="7">
        <f t="shared" ref="Y11:Y22" si="21">W11*$J$3</f>
        <v>0</v>
      </c>
      <c r="Z11" s="8">
        <f t="shared" ref="Z11:Z22" si="22">SUM(W11:Y11)</f>
        <v>35749.226026108321</v>
      </c>
      <c r="AC11" s="145">
        <v>28653.051975115184</v>
      </c>
      <c r="AI11" s="414" t="s">
        <v>85</v>
      </c>
      <c r="AJ11" s="403">
        <v>2</v>
      </c>
      <c r="AK11" s="415">
        <v>30837.596405056011</v>
      </c>
    </row>
    <row r="12" spans="1:37" x14ac:dyDescent="0.25">
      <c r="A12" s="24" t="s">
        <v>86</v>
      </c>
      <c r="B12" s="2">
        <v>3</v>
      </c>
      <c r="C12" s="78">
        <v>29049.241334471859</v>
      </c>
      <c r="D12" s="7">
        <f t="shared" si="0"/>
        <v>0</v>
      </c>
      <c r="E12" s="7">
        <f t="shared" si="1"/>
        <v>0</v>
      </c>
      <c r="F12" s="8">
        <f t="shared" si="2"/>
        <v>29049.241334471859</v>
      </c>
      <c r="G12" s="78">
        <f t="shared" si="3"/>
        <v>32191.447934376021</v>
      </c>
      <c r="H12" s="7">
        <f t="shared" si="4"/>
        <v>0</v>
      </c>
      <c r="I12" s="7">
        <f t="shared" si="9"/>
        <v>0</v>
      </c>
      <c r="J12" s="8">
        <f t="shared" si="10"/>
        <v>32191.447934376021</v>
      </c>
      <c r="K12" s="34">
        <f t="shared" si="11"/>
        <v>33157.191372407302</v>
      </c>
      <c r="L12" s="7">
        <f t="shared" si="5"/>
        <v>0</v>
      </c>
      <c r="M12" s="7">
        <f t="shared" si="12"/>
        <v>0</v>
      </c>
      <c r="N12" s="7">
        <f t="shared" si="13"/>
        <v>33157.191372407302</v>
      </c>
      <c r="O12" s="34">
        <f t="shared" si="14"/>
        <v>34151.907113579524</v>
      </c>
      <c r="P12" s="7">
        <f t="shared" si="6"/>
        <v>0</v>
      </c>
      <c r="Q12" s="7">
        <f t="shared" si="15"/>
        <v>0</v>
      </c>
      <c r="R12" s="7">
        <f t="shared" si="16"/>
        <v>34151.907113579524</v>
      </c>
      <c r="S12" s="34">
        <f t="shared" si="17"/>
        <v>35176.464326986912</v>
      </c>
      <c r="T12" s="7">
        <f t="shared" si="7"/>
        <v>0</v>
      </c>
      <c r="U12" s="7">
        <f t="shared" si="18"/>
        <v>0</v>
      </c>
      <c r="V12" s="7">
        <f t="shared" si="19"/>
        <v>35176.464326986912</v>
      </c>
      <c r="W12" s="34">
        <f t="shared" si="20"/>
        <v>36231.758256796522</v>
      </c>
      <c r="X12" s="7">
        <f t="shared" si="8"/>
        <v>0</v>
      </c>
      <c r="Y12" s="7">
        <f t="shared" si="21"/>
        <v>0</v>
      </c>
      <c r="Z12" s="8">
        <f t="shared" si="22"/>
        <v>36231.758256796522</v>
      </c>
      <c r="AC12" s="145">
        <v>29049.241334471859</v>
      </c>
      <c r="AI12" s="414" t="s">
        <v>86</v>
      </c>
      <c r="AJ12" s="403">
        <v>3</v>
      </c>
      <c r="AK12" s="415">
        <v>31253.832945996135</v>
      </c>
    </row>
    <row r="13" spans="1:37" x14ac:dyDescent="0.25">
      <c r="A13" s="24" t="s">
        <v>87</v>
      </c>
      <c r="B13" s="2">
        <v>4</v>
      </c>
      <c r="C13" s="78">
        <v>29859.344592840458</v>
      </c>
      <c r="D13" s="7">
        <f t="shared" si="0"/>
        <v>0</v>
      </c>
      <c r="E13" s="7">
        <f t="shared" si="1"/>
        <v>0</v>
      </c>
      <c r="F13" s="8">
        <f t="shared" si="2"/>
        <v>29859.344592840458</v>
      </c>
      <c r="G13" s="78">
        <f t="shared" si="3"/>
        <v>33068.075252115334</v>
      </c>
      <c r="H13" s="7">
        <f t="shared" si="4"/>
        <v>0</v>
      </c>
      <c r="I13" s="7">
        <f t="shared" si="9"/>
        <v>0</v>
      </c>
      <c r="J13" s="8">
        <f t="shared" si="10"/>
        <v>33068.075252115334</v>
      </c>
      <c r="K13" s="34">
        <f t="shared" si="11"/>
        <v>34060.117509678792</v>
      </c>
      <c r="L13" s="7">
        <f t="shared" si="5"/>
        <v>0</v>
      </c>
      <c r="M13" s="7">
        <f t="shared" si="12"/>
        <v>0</v>
      </c>
      <c r="N13" s="7">
        <f t="shared" si="13"/>
        <v>34060.117509678792</v>
      </c>
      <c r="O13" s="34">
        <f t="shared" si="14"/>
        <v>35081.921034969157</v>
      </c>
      <c r="P13" s="7">
        <f t="shared" si="6"/>
        <v>0</v>
      </c>
      <c r="Q13" s="7">
        <f t="shared" si="15"/>
        <v>0</v>
      </c>
      <c r="R13" s="7">
        <f t="shared" si="16"/>
        <v>35081.921034969157</v>
      </c>
      <c r="S13" s="34">
        <f t="shared" si="17"/>
        <v>36134.37866601823</v>
      </c>
      <c r="T13" s="7">
        <f t="shared" si="7"/>
        <v>0</v>
      </c>
      <c r="U13" s="7">
        <f t="shared" si="18"/>
        <v>0</v>
      </c>
      <c r="V13" s="7">
        <f t="shared" si="19"/>
        <v>36134.37866601823</v>
      </c>
      <c r="W13" s="34">
        <f t="shared" si="20"/>
        <v>37218.410025998775</v>
      </c>
      <c r="X13" s="7">
        <f t="shared" si="8"/>
        <v>0</v>
      </c>
      <c r="Y13" s="7">
        <f t="shared" si="21"/>
        <v>0</v>
      </c>
      <c r="Z13" s="8">
        <f t="shared" si="22"/>
        <v>37218.410025998775</v>
      </c>
      <c r="AC13" s="145">
        <v>29859.344592840458</v>
      </c>
      <c r="AI13" s="414" t="s">
        <v>87</v>
      </c>
      <c r="AJ13" s="403">
        <v>4</v>
      </c>
      <c r="AK13" s="415">
        <v>32104.927429238185</v>
      </c>
    </row>
    <row r="14" spans="1:37" x14ac:dyDescent="0.25">
      <c r="A14" s="24" t="s">
        <v>88</v>
      </c>
      <c r="B14" s="2">
        <v>5</v>
      </c>
      <c r="C14" s="78">
        <v>30691.546508814063</v>
      </c>
      <c r="D14" s="7">
        <f t="shared" si="0"/>
        <v>0</v>
      </c>
      <c r="E14" s="7">
        <f t="shared" si="1"/>
        <v>0</v>
      </c>
      <c r="F14" s="8">
        <f t="shared" si="2"/>
        <v>30691.546508814063</v>
      </c>
      <c r="G14" s="78">
        <f t="shared" si="3"/>
        <v>33968.615925024853</v>
      </c>
      <c r="H14" s="7">
        <f t="shared" si="4"/>
        <v>0</v>
      </c>
      <c r="I14" s="7">
        <f t="shared" si="9"/>
        <v>0</v>
      </c>
      <c r="J14" s="8">
        <f t="shared" si="10"/>
        <v>33968.615925024853</v>
      </c>
      <c r="K14" s="34">
        <f t="shared" si="11"/>
        <v>34987.674402775599</v>
      </c>
      <c r="L14" s="7">
        <f t="shared" si="5"/>
        <v>0</v>
      </c>
      <c r="M14" s="7">
        <f t="shared" si="12"/>
        <v>0</v>
      </c>
      <c r="N14" s="7">
        <f t="shared" si="13"/>
        <v>34987.674402775599</v>
      </c>
      <c r="O14" s="34">
        <f t="shared" si="14"/>
        <v>36037.304634858869</v>
      </c>
      <c r="P14" s="7">
        <f t="shared" si="6"/>
        <v>0</v>
      </c>
      <c r="Q14" s="7">
        <f t="shared" si="15"/>
        <v>0</v>
      </c>
      <c r="R14" s="7">
        <f t="shared" si="16"/>
        <v>36037.304634858869</v>
      </c>
      <c r="S14" s="34">
        <f t="shared" si="17"/>
        <v>37118.423773904637</v>
      </c>
      <c r="T14" s="7">
        <f t="shared" si="7"/>
        <v>0</v>
      </c>
      <c r="U14" s="7">
        <f t="shared" si="18"/>
        <v>0</v>
      </c>
      <c r="V14" s="7">
        <f t="shared" si="19"/>
        <v>37118.423773904637</v>
      </c>
      <c r="W14" s="34">
        <f t="shared" si="20"/>
        <v>38231.976487121778</v>
      </c>
      <c r="X14" s="7">
        <f t="shared" si="8"/>
        <v>0</v>
      </c>
      <c r="Y14" s="7">
        <f t="shared" si="21"/>
        <v>0</v>
      </c>
      <c r="Z14" s="8">
        <f t="shared" si="22"/>
        <v>38231.976487121778</v>
      </c>
      <c r="AC14" s="145">
        <v>30691.546508814063</v>
      </c>
      <c r="AI14" s="414" t="s">
        <v>88</v>
      </c>
      <c r="AJ14" s="403">
        <v>5</v>
      </c>
      <c r="AK14" s="415">
        <v>32979.23876216005</v>
      </c>
    </row>
    <row r="15" spans="1:37" x14ac:dyDescent="0.25">
      <c r="A15" s="24" t="s">
        <v>89</v>
      </c>
      <c r="B15" s="2">
        <v>6</v>
      </c>
      <c r="C15" s="78">
        <v>31549.775573635441</v>
      </c>
      <c r="D15" s="7">
        <f t="shared" si="0"/>
        <v>0</v>
      </c>
      <c r="E15" s="7">
        <f t="shared" si="1"/>
        <v>0</v>
      </c>
      <c r="F15" s="8">
        <f t="shared" si="2"/>
        <v>31549.775573635441</v>
      </c>
      <c r="G15" s="78">
        <f t="shared" si="3"/>
        <v>34897.321044191245</v>
      </c>
      <c r="H15" s="7">
        <f t="shared" si="4"/>
        <v>0</v>
      </c>
      <c r="I15" s="7">
        <f t="shared" si="9"/>
        <v>0</v>
      </c>
      <c r="J15" s="8">
        <f t="shared" si="10"/>
        <v>34897.321044191245</v>
      </c>
      <c r="K15" s="34">
        <f t="shared" si="11"/>
        <v>35944.240675516987</v>
      </c>
      <c r="L15" s="7">
        <f t="shared" si="5"/>
        <v>0</v>
      </c>
      <c r="M15" s="7">
        <f t="shared" si="12"/>
        <v>0</v>
      </c>
      <c r="N15" s="7">
        <f t="shared" si="13"/>
        <v>35944.240675516987</v>
      </c>
      <c r="O15" s="34">
        <f t="shared" si="14"/>
        <v>37022.5678957825</v>
      </c>
      <c r="P15" s="7">
        <f t="shared" si="6"/>
        <v>0</v>
      </c>
      <c r="Q15" s="7">
        <f t="shared" si="15"/>
        <v>0</v>
      </c>
      <c r="R15" s="7">
        <f t="shared" si="16"/>
        <v>37022.5678957825</v>
      </c>
      <c r="S15" s="34">
        <f t="shared" si="17"/>
        <v>38133.244932655973</v>
      </c>
      <c r="T15" s="7">
        <f t="shared" si="7"/>
        <v>0</v>
      </c>
      <c r="U15" s="7">
        <f t="shared" si="18"/>
        <v>0</v>
      </c>
      <c r="V15" s="7">
        <f t="shared" si="19"/>
        <v>38133.244932655973</v>
      </c>
      <c r="W15" s="34">
        <f t="shared" si="20"/>
        <v>39277.242280635655</v>
      </c>
      <c r="X15" s="7">
        <f t="shared" si="8"/>
        <v>0</v>
      </c>
      <c r="Y15" s="7">
        <f t="shared" si="21"/>
        <v>0</v>
      </c>
      <c r="Z15" s="8">
        <f t="shared" si="22"/>
        <v>39277.242280635655</v>
      </c>
      <c r="AC15" s="145">
        <v>31549.775573635441</v>
      </c>
      <c r="AI15" s="414" t="s">
        <v>89</v>
      </c>
      <c r="AJ15" s="403">
        <v>6</v>
      </c>
      <c r="AK15" s="415">
        <v>33880.8942176614</v>
      </c>
    </row>
    <row r="16" spans="1:37" x14ac:dyDescent="0.25">
      <c r="A16" s="24" t="s">
        <v>90</v>
      </c>
      <c r="B16" s="2">
        <v>7</v>
      </c>
      <c r="C16" s="78">
        <v>32435.722612706293</v>
      </c>
      <c r="D16" s="7">
        <f t="shared" si="0"/>
        <v>0</v>
      </c>
      <c r="E16" s="7">
        <f t="shared" si="1"/>
        <v>0</v>
      </c>
      <c r="F16" s="8">
        <f t="shared" si="2"/>
        <v>32435.722612706293</v>
      </c>
      <c r="G16" s="78">
        <f t="shared" si="3"/>
        <v>35856.020282216508</v>
      </c>
      <c r="H16" s="7">
        <f t="shared" si="4"/>
        <v>0</v>
      </c>
      <c r="I16" s="7">
        <f t="shared" si="9"/>
        <v>0</v>
      </c>
      <c r="J16" s="8">
        <f t="shared" si="10"/>
        <v>35856.020282216508</v>
      </c>
      <c r="K16" s="34">
        <f t="shared" si="11"/>
        <v>36931.700890683001</v>
      </c>
      <c r="L16" s="7">
        <f t="shared" si="5"/>
        <v>0</v>
      </c>
      <c r="M16" s="7">
        <f t="shared" si="12"/>
        <v>0</v>
      </c>
      <c r="N16" s="7">
        <f t="shared" si="13"/>
        <v>36931.700890683001</v>
      </c>
      <c r="O16" s="34">
        <f t="shared" si="14"/>
        <v>38039.651917403491</v>
      </c>
      <c r="P16" s="7">
        <f t="shared" si="6"/>
        <v>0</v>
      </c>
      <c r="Q16" s="7">
        <f t="shared" si="15"/>
        <v>0</v>
      </c>
      <c r="R16" s="7">
        <f t="shared" si="16"/>
        <v>38039.651917403491</v>
      </c>
      <c r="S16" s="34">
        <f t="shared" si="17"/>
        <v>39180.841474925597</v>
      </c>
      <c r="T16" s="7">
        <f t="shared" si="7"/>
        <v>0</v>
      </c>
      <c r="U16" s="7">
        <f t="shared" si="18"/>
        <v>0</v>
      </c>
      <c r="V16" s="7">
        <f t="shared" si="19"/>
        <v>39180.841474925597</v>
      </c>
      <c r="W16" s="34">
        <f t="shared" si="20"/>
        <v>40356.266719173364</v>
      </c>
      <c r="X16" s="7">
        <f t="shared" si="8"/>
        <v>0</v>
      </c>
      <c r="Y16" s="7">
        <f t="shared" si="21"/>
        <v>0</v>
      </c>
      <c r="Z16" s="8">
        <f t="shared" si="22"/>
        <v>40356.266719173364</v>
      </c>
      <c r="AC16" s="145">
        <v>32435.722612706293</v>
      </c>
      <c r="AI16" s="414" t="s">
        <v>90</v>
      </c>
      <c r="AJ16" s="403">
        <v>7</v>
      </c>
      <c r="AK16" s="415">
        <v>34811.670176909232</v>
      </c>
    </row>
    <row r="17" spans="1:37" x14ac:dyDescent="0.25">
      <c r="A17" s="24" t="s">
        <v>91</v>
      </c>
      <c r="B17" s="2">
        <v>8</v>
      </c>
      <c r="C17" s="78">
        <v>33023.05144466518</v>
      </c>
      <c r="D17" s="7">
        <f t="shared" si="0"/>
        <v>0</v>
      </c>
      <c r="E17" s="7">
        <f t="shared" si="1"/>
        <v>0</v>
      </c>
      <c r="F17" s="8">
        <f t="shared" si="2"/>
        <v>33023.05144466518</v>
      </c>
      <c r="G17" s="78">
        <f t="shared" si="3"/>
        <v>36491.579383198201</v>
      </c>
      <c r="H17" s="7">
        <f t="shared" si="4"/>
        <v>0</v>
      </c>
      <c r="I17" s="7">
        <f t="shared" si="9"/>
        <v>0</v>
      </c>
      <c r="J17" s="8">
        <f t="shared" si="10"/>
        <v>36491.579383198201</v>
      </c>
      <c r="K17" s="34">
        <f t="shared" si="11"/>
        <v>37586.326764694146</v>
      </c>
      <c r="L17" s="7">
        <f t="shared" si="5"/>
        <v>0</v>
      </c>
      <c r="M17" s="7">
        <f t="shared" si="12"/>
        <v>0</v>
      </c>
      <c r="N17" s="7">
        <f t="shared" si="13"/>
        <v>37586.326764694146</v>
      </c>
      <c r="O17" s="34">
        <f t="shared" si="14"/>
        <v>38713.916567634973</v>
      </c>
      <c r="P17" s="7">
        <f t="shared" si="6"/>
        <v>0</v>
      </c>
      <c r="Q17" s="7">
        <f t="shared" si="15"/>
        <v>0</v>
      </c>
      <c r="R17" s="7">
        <f t="shared" si="16"/>
        <v>38713.916567634973</v>
      </c>
      <c r="S17" s="34">
        <f t="shared" si="17"/>
        <v>39875.334064664021</v>
      </c>
      <c r="T17" s="7">
        <f t="shared" si="7"/>
        <v>0</v>
      </c>
      <c r="U17" s="7">
        <f t="shared" si="18"/>
        <v>0</v>
      </c>
      <c r="V17" s="7">
        <f t="shared" si="19"/>
        <v>39875.334064664021</v>
      </c>
      <c r="W17" s="34">
        <f t="shared" si="20"/>
        <v>41071.594086603945</v>
      </c>
      <c r="X17" s="7">
        <f t="shared" si="8"/>
        <v>0</v>
      </c>
      <c r="Y17" s="7">
        <f t="shared" si="21"/>
        <v>0</v>
      </c>
      <c r="Z17" s="8">
        <f t="shared" si="22"/>
        <v>41071.594086603945</v>
      </c>
      <c r="AC17" s="145">
        <v>33023.05144466518</v>
      </c>
      <c r="AI17" s="414" t="s">
        <v>91</v>
      </c>
      <c r="AJ17" s="403">
        <v>8</v>
      </c>
      <c r="AK17" s="415">
        <v>35428.717847765241</v>
      </c>
    </row>
    <row r="18" spans="1:37" x14ac:dyDescent="0.25">
      <c r="A18" s="24" t="s">
        <v>92</v>
      </c>
      <c r="B18" s="2">
        <v>9</v>
      </c>
      <c r="C18" s="78">
        <v>33927.066121176955</v>
      </c>
      <c r="D18" s="7">
        <f t="shared" si="0"/>
        <v>0</v>
      </c>
      <c r="E18" s="7">
        <f t="shared" si="1"/>
        <v>0</v>
      </c>
      <c r="F18" s="8">
        <f t="shared" si="2"/>
        <v>33927.066121176955</v>
      </c>
      <c r="G18" s="78">
        <f t="shared" si="3"/>
        <v>37469.829936915768</v>
      </c>
      <c r="H18" s="7">
        <f t="shared" si="4"/>
        <v>0</v>
      </c>
      <c r="I18" s="7">
        <f t="shared" si="9"/>
        <v>0</v>
      </c>
      <c r="J18" s="8">
        <f t="shared" si="10"/>
        <v>37469.829936915768</v>
      </c>
      <c r="K18" s="34">
        <f t="shared" si="11"/>
        <v>38593.924835023245</v>
      </c>
      <c r="L18" s="7">
        <f t="shared" si="5"/>
        <v>0</v>
      </c>
      <c r="M18" s="7">
        <f t="shared" si="12"/>
        <v>0</v>
      </c>
      <c r="N18" s="7">
        <f t="shared" si="13"/>
        <v>38593.924835023245</v>
      </c>
      <c r="O18" s="34">
        <f t="shared" si="14"/>
        <v>39751.742580073944</v>
      </c>
      <c r="P18" s="7">
        <f t="shared" si="6"/>
        <v>0</v>
      </c>
      <c r="Q18" s="7">
        <f t="shared" si="15"/>
        <v>0</v>
      </c>
      <c r="R18" s="7">
        <f t="shared" si="16"/>
        <v>39751.742580073944</v>
      </c>
      <c r="S18" s="34">
        <f t="shared" si="17"/>
        <v>40944.294857476161</v>
      </c>
      <c r="T18" s="7">
        <f t="shared" si="7"/>
        <v>0</v>
      </c>
      <c r="U18" s="7">
        <f t="shared" si="18"/>
        <v>0</v>
      </c>
      <c r="V18" s="7">
        <f t="shared" si="19"/>
        <v>40944.294857476161</v>
      </c>
      <c r="W18" s="34">
        <f t="shared" si="20"/>
        <v>42172.62370320045</v>
      </c>
      <c r="X18" s="7">
        <f t="shared" si="8"/>
        <v>0</v>
      </c>
      <c r="Y18" s="7">
        <f t="shared" si="21"/>
        <v>0</v>
      </c>
      <c r="Z18" s="8">
        <f t="shared" si="22"/>
        <v>42172.62370320045</v>
      </c>
      <c r="AC18" s="145">
        <v>33927.066121176955</v>
      </c>
      <c r="AI18" s="414" t="s">
        <v>92</v>
      </c>
      <c r="AJ18" s="403">
        <v>9</v>
      </c>
      <c r="AK18" s="415">
        <v>36378.475666908511</v>
      </c>
    </row>
    <row r="19" spans="1:37" x14ac:dyDescent="0.25">
      <c r="A19" s="24" t="s">
        <v>93</v>
      </c>
      <c r="B19" s="2">
        <v>10</v>
      </c>
      <c r="C19" s="78">
        <v>34690.022220560706</v>
      </c>
      <c r="D19" s="7">
        <f t="shared" si="0"/>
        <v>0</v>
      </c>
      <c r="E19" s="7">
        <f t="shared" si="1"/>
        <v>0</v>
      </c>
      <c r="F19" s="8">
        <f t="shared" si="2"/>
        <v>34690.022220560706</v>
      </c>
      <c r="G19" s="78">
        <f t="shared" si="3"/>
        <v>38295.438465268715</v>
      </c>
      <c r="H19" s="7">
        <f t="shared" si="4"/>
        <v>0</v>
      </c>
      <c r="I19" s="7">
        <f t="shared" si="9"/>
        <v>0</v>
      </c>
      <c r="J19" s="8">
        <f t="shared" si="10"/>
        <v>38295.438465268715</v>
      </c>
      <c r="K19" s="34">
        <f t="shared" si="11"/>
        <v>39444.301619226775</v>
      </c>
      <c r="L19" s="7">
        <f t="shared" si="5"/>
        <v>0</v>
      </c>
      <c r="M19" s="7">
        <f t="shared" si="12"/>
        <v>0</v>
      </c>
      <c r="N19" s="7">
        <f t="shared" si="13"/>
        <v>39444.301619226775</v>
      </c>
      <c r="O19" s="34">
        <f t="shared" si="14"/>
        <v>40627.630667803576</v>
      </c>
      <c r="P19" s="7">
        <f t="shared" si="6"/>
        <v>0</v>
      </c>
      <c r="Q19" s="7">
        <f t="shared" si="15"/>
        <v>0</v>
      </c>
      <c r="R19" s="7">
        <f t="shared" si="16"/>
        <v>40627.630667803576</v>
      </c>
      <c r="S19" s="34">
        <f t="shared" si="17"/>
        <v>41846.459587837686</v>
      </c>
      <c r="T19" s="7">
        <f t="shared" si="7"/>
        <v>0</v>
      </c>
      <c r="U19" s="7">
        <f t="shared" si="18"/>
        <v>0</v>
      </c>
      <c r="V19" s="7">
        <f t="shared" si="19"/>
        <v>41846.459587837686</v>
      </c>
      <c r="W19" s="34">
        <f t="shared" si="20"/>
        <v>43101.85337547282</v>
      </c>
      <c r="X19" s="7">
        <f t="shared" si="8"/>
        <v>0</v>
      </c>
      <c r="Y19" s="7">
        <f t="shared" si="21"/>
        <v>0</v>
      </c>
      <c r="Z19" s="8">
        <f t="shared" si="22"/>
        <v>43101.85337547282</v>
      </c>
      <c r="AC19" s="145">
        <v>34690.022220560706</v>
      </c>
      <c r="AI19" s="414" t="s">
        <v>93</v>
      </c>
      <c r="AJ19" s="403">
        <v>10</v>
      </c>
      <c r="AK19" s="415">
        <v>37180.037344921082</v>
      </c>
    </row>
    <row r="20" spans="1:37" x14ac:dyDescent="0.25">
      <c r="A20" s="24" t="s">
        <v>94</v>
      </c>
      <c r="B20" s="2">
        <v>11</v>
      </c>
      <c r="C20" s="78">
        <v>35311.284296306556</v>
      </c>
      <c r="D20" s="7">
        <f t="shared" si="0"/>
        <v>0</v>
      </c>
      <c r="E20" s="7">
        <f t="shared" si="1"/>
        <v>0</v>
      </c>
      <c r="F20" s="8">
        <f t="shared" si="2"/>
        <v>35311.284296306556</v>
      </c>
      <c r="G20" s="78">
        <f t="shared" si="3"/>
        <v>38967.717340150659</v>
      </c>
      <c r="H20" s="7">
        <f t="shared" si="4"/>
        <v>0</v>
      </c>
      <c r="I20" s="7">
        <f t="shared" si="9"/>
        <v>0</v>
      </c>
      <c r="J20" s="8">
        <f t="shared" si="10"/>
        <v>38967.717340150659</v>
      </c>
      <c r="K20" s="34">
        <f t="shared" si="11"/>
        <v>40136.748860355183</v>
      </c>
      <c r="L20" s="7">
        <f t="shared" si="5"/>
        <v>0</v>
      </c>
      <c r="M20" s="7">
        <f t="shared" si="12"/>
        <v>0</v>
      </c>
      <c r="N20" s="7">
        <f t="shared" si="13"/>
        <v>40136.748860355183</v>
      </c>
      <c r="O20" s="34">
        <f t="shared" si="14"/>
        <v>41340.851326165837</v>
      </c>
      <c r="P20" s="7">
        <f t="shared" si="6"/>
        <v>0</v>
      </c>
      <c r="Q20" s="7">
        <f t="shared" si="15"/>
        <v>0</v>
      </c>
      <c r="R20" s="7">
        <f t="shared" si="16"/>
        <v>41340.851326165837</v>
      </c>
      <c r="S20" s="34">
        <f t="shared" si="17"/>
        <v>42581.07686595081</v>
      </c>
      <c r="T20" s="7">
        <f t="shared" si="7"/>
        <v>0</v>
      </c>
      <c r="U20" s="7">
        <f t="shared" si="18"/>
        <v>0</v>
      </c>
      <c r="V20" s="7">
        <f t="shared" si="19"/>
        <v>42581.07686595081</v>
      </c>
      <c r="W20" s="34">
        <f t="shared" si="20"/>
        <v>43858.509171929334</v>
      </c>
      <c r="X20" s="7">
        <f t="shared" si="8"/>
        <v>0</v>
      </c>
      <c r="Y20" s="7">
        <f t="shared" si="21"/>
        <v>0</v>
      </c>
      <c r="Z20" s="8">
        <f t="shared" si="22"/>
        <v>43858.509171929334</v>
      </c>
      <c r="AC20" s="145">
        <v>35311.284296306556</v>
      </c>
      <c r="AI20" s="414" t="s">
        <v>94</v>
      </c>
      <c r="AJ20" s="403">
        <v>11</v>
      </c>
      <c r="AK20" s="415">
        <v>37832.735281699664</v>
      </c>
    </row>
    <row r="21" spans="1:37" x14ac:dyDescent="0.25">
      <c r="A21" s="24" t="s">
        <v>95</v>
      </c>
      <c r="B21" s="2">
        <v>12</v>
      </c>
      <c r="C21" s="78">
        <v>36284.345378800048</v>
      </c>
      <c r="D21" s="7">
        <f t="shared" si="0"/>
        <v>0</v>
      </c>
      <c r="E21" s="7">
        <f t="shared" si="1"/>
        <v>0</v>
      </c>
      <c r="F21" s="8">
        <f t="shared" si="2"/>
        <v>36284.345378800048</v>
      </c>
      <c r="G21" s="78">
        <f t="shared" si="3"/>
        <v>40020.684252616345</v>
      </c>
      <c r="H21" s="7">
        <f t="shared" si="4"/>
        <v>0</v>
      </c>
      <c r="I21" s="7">
        <f t="shared" si="9"/>
        <v>0</v>
      </c>
      <c r="J21" s="8">
        <f t="shared" si="10"/>
        <v>40020.684252616345</v>
      </c>
      <c r="K21" s="34">
        <f t="shared" si="11"/>
        <v>41221.304780194834</v>
      </c>
      <c r="L21" s="7">
        <f t="shared" si="5"/>
        <v>0</v>
      </c>
      <c r="M21" s="7">
        <f t="shared" si="12"/>
        <v>0</v>
      </c>
      <c r="N21" s="7">
        <f t="shared" si="13"/>
        <v>41221.304780194834</v>
      </c>
      <c r="O21" s="34">
        <f t="shared" si="14"/>
        <v>42457.94392360068</v>
      </c>
      <c r="P21" s="7">
        <f t="shared" si="6"/>
        <v>0</v>
      </c>
      <c r="Q21" s="7">
        <f t="shared" si="15"/>
        <v>0</v>
      </c>
      <c r="R21" s="7">
        <f t="shared" si="16"/>
        <v>42457.94392360068</v>
      </c>
      <c r="S21" s="34">
        <f t="shared" si="17"/>
        <v>43731.682241308699</v>
      </c>
      <c r="T21" s="7">
        <f t="shared" si="7"/>
        <v>0</v>
      </c>
      <c r="U21" s="7">
        <f t="shared" si="18"/>
        <v>0</v>
      </c>
      <c r="V21" s="7">
        <f t="shared" si="19"/>
        <v>43731.682241308699</v>
      </c>
      <c r="W21" s="34">
        <f t="shared" si="20"/>
        <v>45043.632708547964</v>
      </c>
      <c r="X21" s="7">
        <f t="shared" si="8"/>
        <v>0</v>
      </c>
      <c r="Y21" s="7">
        <f t="shared" si="21"/>
        <v>0</v>
      </c>
      <c r="Z21" s="8">
        <f t="shared" si="22"/>
        <v>45043.632708547964</v>
      </c>
      <c r="AC21" s="145">
        <v>36284.345378800048</v>
      </c>
      <c r="AI21" s="414" t="s">
        <v>95</v>
      </c>
      <c r="AJ21" s="403">
        <v>12</v>
      </c>
      <c r="AK21" s="415">
        <v>38855.033254967326</v>
      </c>
    </row>
    <row r="22" spans="1:37" x14ac:dyDescent="0.25">
      <c r="A22" s="24" t="s">
        <v>96</v>
      </c>
      <c r="B22" s="2">
        <v>13</v>
      </c>
      <c r="C22" s="79">
        <v>37286.27750440051</v>
      </c>
      <c r="D22" s="7">
        <f t="shared" si="0"/>
        <v>0</v>
      </c>
      <c r="E22" s="7">
        <f t="shared" si="1"/>
        <v>0</v>
      </c>
      <c r="F22" s="8">
        <f t="shared" si="2"/>
        <v>37286.27750440051</v>
      </c>
      <c r="G22" s="78">
        <f t="shared" si="3"/>
        <v>41104.893040506875</v>
      </c>
      <c r="H22" s="7">
        <f t="shared" si="4"/>
        <v>0</v>
      </c>
      <c r="I22" s="7">
        <f t="shared" si="9"/>
        <v>0</v>
      </c>
      <c r="J22" s="8">
        <f t="shared" si="10"/>
        <v>41104.893040506875</v>
      </c>
      <c r="K22" s="34">
        <f t="shared" si="11"/>
        <v>42338.039831722082</v>
      </c>
      <c r="L22" s="7">
        <f t="shared" si="5"/>
        <v>0</v>
      </c>
      <c r="M22" s="7">
        <f t="shared" si="12"/>
        <v>0</v>
      </c>
      <c r="N22" s="7">
        <f t="shared" si="13"/>
        <v>42338.039831722082</v>
      </c>
      <c r="O22" s="34">
        <f t="shared" si="14"/>
        <v>43608.181026673745</v>
      </c>
      <c r="P22" s="7">
        <f t="shared" si="6"/>
        <v>0</v>
      </c>
      <c r="Q22" s="7">
        <f t="shared" si="15"/>
        <v>0</v>
      </c>
      <c r="R22" s="7">
        <f t="shared" si="16"/>
        <v>43608.181026673745</v>
      </c>
      <c r="S22" s="34">
        <f t="shared" si="17"/>
        <v>44916.426457473957</v>
      </c>
      <c r="T22" s="7">
        <f t="shared" si="7"/>
        <v>0</v>
      </c>
      <c r="U22" s="7">
        <f t="shared" si="18"/>
        <v>0</v>
      </c>
      <c r="V22" s="7">
        <f t="shared" si="19"/>
        <v>44916.426457473957</v>
      </c>
      <c r="W22" s="34">
        <f t="shared" si="20"/>
        <v>46263.919251198175</v>
      </c>
      <c r="X22" s="7">
        <f t="shared" si="8"/>
        <v>0</v>
      </c>
      <c r="Y22" s="7">
        <f t="shared" si="21"/>
        <v>0</v>
      </c>
      <c r="Z22" s="8">
        <f t="shared" si="22"/>
        <v>46263.919251198175</v>
      </c>
      <c r="AC22" s="146">
        <v>37286.27750440051</v>
      </c>
      <c r="AI22" s="414" t="s">
        <v>96</v>
      </c>
      <c r="AJ22" s="403">
        <v>13</v>
      </c>
      <c r="AK22" s="416">
        <v>39907.663146123181</v>
      </c>
    </row>
    <row r="23" spans="1:37" x14ac:dyDescent="0.25">
      <c r="A23" s="24" t="s">
        <v>185</v>
      </c>
      <c r="B23" s="2"/>
      <c r="C23" s="154"/>
      <c r="D23" s="7"/>
      <c r="E23" s="7"/>
      <c r="F23" s="8"/>
      <c r="G23" s="34">
        <f t="shared" ref="G23:G60" si="23">SUM(C23*$J$5)</f>
        <v>0</v>
      </c>
      <c r="H23" s="7"/>
      <c r="I23" s="7"/>
      <c r="J23" s="8"/>
      <c r="K23" s="34">
        <f>G22*J5</f>
        <v>42338.039831722082</v>
      </c>
      <c r="L23" s="7">
        <f>K23*$J$2</f>
        <v>0</v>
      </c>
      <c r="M23" s="7">
        <f>K23*$J$3</f>
        <v>0</v>
      </c>
      <c r="N23" s="7">
        <f>SUM(K23:M23)</f>
        <v>42338.039831722082</v>
      </c>
      <c r="O23" s="34">
        <f>K23*J5</f>
        <v>43608.181026673745</v>
      </c>
      <c r="P23" s="7">
        <f>O23*$J$2</f>
        <v>0</v>
      </c>
      <c r="Q23" s="7">
        <f>O23*$J$3</f>
        <v>0</v>
      </c>
      <c r="R23" s="7">
        <f>SUM(O23:Q23)</f>
        <v>43608.181026673745</v>
      </c>
      <c r="S23" s="34">
        <f>O23*J5</f>
        <v>44916.426457473957</v>
      </c>
      <c r="T23" s="7">
        <f>S23*$J$2</f>
        <v>0</v>
      </c>
      <c r="U23" s="7">
        <f>S23*$J$3</f>
        <v>0</v>
      </c>
      <c r="V23" s="7">
        <f>SUM(S23:U23)</f>
        <v>44916.426457473957</v>
      </c>
      <c r="W23" s="34">
        <f>S22*J5</f>
        <v>46263.919251198175</v>
      </c>
      <c r="X23" s="7">
        <f>W23*$J$2</f>
        <v>0</v>
      </c>
      <c r="Y23" s="7">
        <f t="shared" ref="Y23:Y28" si="24">W23*$J$3</f>
        <v>0</v>
      </c>
      <c r="Z23" s="8">
        <f>SUM(W23:Y23)</f>
        <v>46263.919251198175</v>
      </c>
      <c r="AC23" s="147"/>
      <c r="AI23" s="414" t="s">
        <v>185</v>
      </c>
      <c r="AJ23" s="403"/>
      <c r="AK23" s="417">
        <v>0</v>
      </c>
    </row>
    <row r="24" spans="1:37" x14ac:dyDescent="0.25">
      <c r="A24" s="24" t="s">
        <v>185</v>
      </c>
      <c r="B24" s="2"/>
      <c r="C24" s="154"/>
      <c r="D24" s="7"/>
      <c r="E24" s="7"/>
      <c r="F24" s="8"/>
      <c r="G24" s="34">
        <f t="shared" si="23"/>
        <v>0</v>
      </c>
      <c r="H24" s="7"/>
      <c r="I24" s="7"/>
      <c r="J24" s="8"/>
      <c r="K24" s="55"/>
      <c r="O24" s="34">
        <f>K23*(J5)</f>
        <v>43608.181026673745</v>
      </c>
      <c r="P24" s="7">
        <f>O24*$J$2</f>
        <v>0</v>
      </c>
      <c r="Q24" s="7">
        <f>O24*$J$3</f>
        <v>0</v>
      </c>
      <c r="R24" s="7">
        <f>SUM(O24:Q24)</f>
        <v>43608.181026673745</v>
      </c>
      <c r="S24" s="34">
        <f>O23*J5</f>
        <v>44916.426457473957</v>
      </c>
      <c r="T24" s="7">
        <f>S24*$J$2</f>
        <v>0</v>
      </c>
      <c r="U24" s="7">
        <f>S24*$J$3</f>
        <v>0</v>
      </c>
      <c r="V24" s="7">
        <f t="shared" si="19"/>
        <v>44916.426457473957</v>
      </c>
      <c r="W24" s="34">
        <f>S23*J5</f>
        <v>46263.919251198175</v>
      </c>
      <c r="X24" s="7">
        <f>W24*$J$2</f>
        <v>0</v>
      </c>
      <c r="Y24" s="7">
        <f t="shared" si="24"/>
        <v>0</v>
      </c>
      <c r="Z24" s="8">
        <f t="shared" ref="Z24:Z26" si="25">SUM(W24:Y24)</f>
        <v>46263.919251198175</v>
      </c>
      <c r="AC24" s="147"/>
      <c r="AI24" s="414" t="s">
        <v>185</v>
      </c>
      <c r="AJ24" s="403"/>
      <c r="AK24" s="417">
        <v>0</v>
      </c>
    </row>
    <row r="25" spans="1:37" x14ac:dyDescent="0.25">
      <c r="A25" s="24" t="s">
        <v>185</v>
      </c>
      <c r="B25" s="2"/>
      <c r="C25" s="154"/>
      <c r="D25" s="7"/>
      <c r="E25" s="7"/>
      <c r="F25" s="8"/>
      <c r="G25" s="34">
        <f t="shared" si="23"/>
        <v>0</v>
      </c>
      <c r="H25" s="7"/>
      <c r="I25" s="7"/>
      <c r="J25" s="8"/>
      <c r="K25" s="34"/>
      <c r="L25" s="7"/>
      <c r="M25" s="7"/>
      <c r="N25" s="7"/>
      <c r="O25" s="55"/>
      <c r="S25" s="55">
        <f>O24*J5</f>
        <v>44916.426457473957</v>
      </c>
      <c r="T25" s="7">
        <f>S25*$J$2</f>
        <v>0</v>
      </c>
      <c r="U25" s="7">
        <f>S25*$J$3</f>
        <v>0</v>
      </c>
      <c r="V25" s="7">
        <f t="shared" si="19"/>
        <v>44916.426457473957</v>
      </c>
      <c r="W25" s="55">
        <f>S24*J5</f>
        <v>46263.919251198175</v>
      </c>
      <c r="X25" s="7">
        <f>W25*$J$2</f>
        <v>0</v>
      </c>
      <c r="Y25" s="7">
        <f t="shared" si="24"/>
        <v>0</v>
      </c>
      <c r="Z25" s="8">
        <f t="shared" si="25"/>
        <v>46263.919251198175</v>
      </c>
      <c r="AC25" s="147"/>
      <c r="AI25" s="414" t="s">
        <v>185</v>
      </c>
      <c r="AJ25" s="403"/>
      <c r="AK25" s="417">
        <v>0</v>
      </c>
    </row>
    <row r="26" spans="1:37" ht="15.75" thickBot="1" x14ac:dyDescent="0.3">
      <c r="A26" s="25" t="s">
        <v>185</v>
      </c>
      <c r="B26" s="9"/>
      <c r="C26" s="155"/>
      <c r="D26" s="10"/>
      <c r="E26" s="10"/>
      <c r="F26" s="11"/>
      <c r="G26" s="35">
        <f t="shared" si="23"/>
        <v>0</v>
      </c>
      <c r="H26" s="10"/>
      <c r="I26" s="10"/>
      <c r="J26" s="11"/>
      <c r="K26" s="35"/>
      <c r="L26" s="10"/>
      <c r="M26" s="10"/>
      <c r="N26" s="10"/>
      <c r="O26" s="35"/>
      <c r="P26" s="10"/>
      <c r="Q26" s="10"/>
      <c r="R26" s="10"/>
      <c r="S26" s="67"/>
      <c r="T26" s="62"/>
      <c r="U26" s="62"/>
      <c r="V26" s="62"/>
      <c r="W26" s="67">
        <f>S25*J5</f>
        <v>46263.919251198175</v>
      </c>
      <c r="X26" s="10">
        <f>W26*$J$2</f>
        <v>0</v>
      </c>
      <c r="Y26" s="10">
        <f t="shared" si="24"/>
        <v>0</v>
      </c>
      <c r="Z26" s="11">
        <f t="shared" si="25"/>
        <v>46263.919251198175</v>
      </c>
      <c r="AC26" s="148"/>
      <c r="AI26" s="418" t="s">
        <v>185</v>
      </c>
      <c r="AJ26" s="419"/>
      <c r="AK26" s="420">
        <v>0</v>
      </c>
    </row>
    <row r="27" spans="1:37" x14ac:dyDescent="0.25">
      <c r="A27" s="26" t="s">
        <v>209</v>
      </c>
      <c r="B27" s="27">
        <v>1</v>
      </c>
      <c r="C27" s="81">
        <v>40022.974479358309</v>
      </c>
      <c r="D27" s="41">
        <f t="shared" ref="D27:D32" si="26">C27*$J$2</f>
        <v>0</v>
      </c>
      <c r="E27" s="41">
        <f t="shared" ref="E27:E32" si="27">C27*$J$3</f>
        <v>0</v>
      </c>
      <c r="F27" s="42">
        <f t="shared" ref="F27:F32" si="28">SUM(C27:D27)</f>
        <v>40022.974479358309</v>
      </c>
      <c r="G27" s="37">
        <f t="shared" ref="G27:G32" si="29">AK27*1.03</f>
        <v>44066.322097654258</v>
      </c>
      <c r="H27" s="41">
        <f t="shared" si="4"/>
        <v>0</v>
      </c>
      <c r="I27" s="41">
        <f>G27*$J$3</f>
        <v>0</v>
      </c>
      <c r="J27" s="42">
        <f>SUM(G27:I27)</f>
        <v>44066.322097654258</v>
      </c>
      <c r="K27" s="37">
        <f t="shared" si="11"/>
        <v>45388.311760583885</v>
      </c>
      <c r="L27" s="41">
        <f t="shared" si="5"/>
        <v>0</v>
      </c>
      <c r="M27" s="41">
        <f>K27*$J$3</f>
        <v>0</v>
      </c>
      <c r="N27" s="28">
        <f t="shared" si="13"/>
        <v>45388.311760583885</v>
      </c>
      <c r="O27" s="37">
        <f t="shared" si="14"/>
        <v>46749.961113401405</v>
      </c>
      <c r="P27" s="41">
        <f t="shared" si="6"/>
        <v>0</v>
      </c>
      <c r="Q27" s="41">
        <f>O27*$J$3</f>
        <v>0</v>
      </c>
      <c r="R27" s="28">
        <f t="shared" si="16"/>
        <v>46749.961113401405</v>
      </c>
      <c r="S27" s="37">
        <f t="shared" si="17"/>
        <v>48152.45994680345</v>
      </c>
      <c r="T27" s="41">
        <f t="shared" si="7"/>
        <v>0</v>
      </c>
      <c r="U27" s="41">
        <f>S27*$J$3</f>
        <v>0</v>
      </c>
      <c r="V27" s="28">
        <f t="shared" si="19"/>
        <v>48152.45994680345</v>
      </c>
      <c r="W27" s="37">
        <f t="shared" ref="W27:W34" si="30">S27*$J$5</f>
        <v>49597.033745207555</v>
      </c>
      <c r="X27" s="41">
        <f t="shared" ref="X27:X36" si="31">W27*$J$2</f>
        <v>0</v>
      </c>
      <c r="Y27" s="41">
        <f t="shared" si="24"/>
        <v>0</v>
      </c>
      <c r="Z27" s="29">
        <f t="shared" ref="Z27:Z36" si="32">SUM(W27:Y27)</f>
        <v>49597.033745207555</v>
      </c>
      <c r="AC27" s="144">
        <v>40022.974479358309</v>
      </c>
      <c r="AI27" s="411" t="s">
        <v>209</v>
      </c>
      <c r="AJ27" s="412">
        <v>1</v>
      </c>
      <c r="AK27" s="413">
        <v>42782.836988013842</v>
      </c>
    </row>
    <row r="28" spans="1:37" x14ac:dyDescent="0.25">
      <c r="A28" s="24" t="s">
        <v>210</v>
      </c>
      <c r="B28" s="2">
        <v>2</v>
      </c>
      <c r="C28" s="79">
        <v>40582.602118689203</v>
      </c>
      <c r="D28" s="12">
        <f t="shared" si="26"/>
        <v>0</v>
      </c>
      <c r="E28" s="12">
        <f t="shared" si="27"/>
        <v>0</v>
      </c>
      <c r="F28" s="13">
        <f t="shared" si="28"/>
        <v>40582.602118689203</v>
      </c>
      <c r="G28" s="78">
        <f t="shared" si="29"/>
        <v>44671.905239471729</v>
      </c>
      <c r="H28" s="12">
        <f t="shared" si="4"/>
        <v>0</v>
      </c>
      <c r="I28" s="12">
        <f>G28*$J$3</f>
        <v>0</v>
      </c>
      <c r="J28" s="13">
        <f t="shared" ref="J28:J32" si="33">SUM(G28:I28)</f>
        <v>44671.905239471729</v>
      </c>
      <c r="K28" s="34">
        <f t="shared" si="11"/>
        <v>46012.062396655885</v>
      </c>
      <c r="L28" s="12">
        <f t="shared" si="5"/>
        <v>0</v>
      </c>
      <c r="M28" s="12">
        <f>K28*$J$3</f>
        <v>0</v>
      </c>
      <c r="N28" s="7">
        <f t="shared" si="13"/>
        <v>46012.062396655885</v>
      </c>
      <c r="O28" s="34">
        <f t="shared" si="14"/>
        <v>47392.424268555566</v>
      </c>
      <c r="P28" s="12">
        <f t="shared" si="6"/>
        <v>0</v>
      </c>
      <c r="Q28" s="12">
        <f>O28*$J$3</f>
        <v>0</v>
      </c>
      <c r="R28" s="7">
        <f t="shared" si="16"/>
        <v>47392.424268555566</v>
      </c>
      <c r="S28" s="34">
        <f t="shared" si="17"/>
        <v>48814.196996612234</v>
      </c>
      <c r="T28" s="12">
        <f t="shared" si="7"/>
        <v>0</v>
      </c>
      <c r="U28" s="12">
        <f>S28*$J$3</f>
        <v>0</v>
      </c>
      <c r="V28" s="7">
        <f t="shared" si="19"/>
        <v>48814.196996612234</v>
      </c>
      <c r="W28" s="34">
        <f t="shared" si="30"/>
        <v>50278.622906510602</v>
      </c>
      <c r="X28" s="12">
        <f t="shared" si="31"/>
        <v>0</v>
      </c>
      <c r="Y28" s="12">
        <f t="shared" si="24"/>
        <v>0</v>
      </c>
      <c r="Z28" s="8">
        <f t="shared" si="32"/>
        <v>50278.622906510602</v>
      </c>
      <c r="AC28" s="146">
        <v>40582.602118689203</v>
      </c>
      <c r="AI28" s="414" t="s">
        <v>210</v>
      </c>
      <c r="AJ28" s="403">
        <v>2</v>
      </c>
      <c r="AK28" s="416">
        <v>43370.781785894884</v>
      </c>
    </row>
    <row r="29" spans="1:37" x14ac:dyDescent="0.25">
      <c r="A29" s="24" t="s">
        <v>211</v>
      </c>
      <c r="B29" s="2">
        <v>3</v>
      </c>
      <c r="C29" s="78">
        <v>42440.293347937506</v>
      </c>
      <c r="D29" s="12">
        <f t="shared" si="26"/>
        <v>0</v>
      </c>
      <c r="E29" s="12">
        <f t="shared" si="27"/>
        <v>0</v>
      </c>
      <c r="F29" s="13">
        <f t="shared" si="28"/>
        <v>42440.293347937506</v>
      </c>
      <c r="G29" s="78">
        <f t="shared" si="29"/>
        <v>46682.146357083446</v>
      </c>
      <c r="H29" s="12">
        <f t="shared" si="4"/>
        <v>0</v>
      </c>
      <c r="I29" s="12">
        <f t="shared" ref="I29:I32" si="34">G29*$J$3</f>
        <v>0</v>
      </c>
      <c r="J29" s="13">
        <f t="shared" si="33"/>
        <v>46682.146357083446</v>
      </c>
      <c r="K29" s="34">
        <f t="shared" si="11"/>
        <v>48082.610747795952</v>
      </c>
      <c r="L29" s="12">
        <f t="shared" si="5"/>
        <v>0</v>
      </c>
      <c r="M29" s="12">
        <f t="shared" ref="M29:M33" si="35">K29*$J$3</f>
        <v>0</v>
      </c>
      <c r="N29" s="7">
        <f t="shared" si="13"/>
        <v>48082.610747795952</v>
      </c>
      <c r="O29" s="34">
        <f t="shared" si="14"/>
        <v>49525.089070229835</v>
      </c>
      <c r="P29" s="12">
        <f t="shared" si="6"/>
        <v>0</v>
      </c>
      <c r="Q29" s="12">
        <f t="shared" ref="Q29:Q34" si="36">O29*$J$3</f>
        <v>0</v>
      </c>
      <c r="R29" s="7">
        <f t="shared" si="16"/>
        <v>49525.089070229835</v>
      </c>
      <c r="S29" s="34">
        <f t="shared" si="17"/>
        <v>51010.841742336728</v>
      </c>
      <c r="T29" s="12">
        <f t="shared" si="7"/>
        <v>0</v>
      </c>
      <c r="U29" s="12">
        <f t="shared" ref="U29:U35" si="37">S29*$J$3</f>
        <v>0</v>
      </c>
      <c r="V29" s="7">
        <f t="shared" si="19"/>
        <v>51010.841742336728</v>
      </c>
      <c r="W29" s="34">
        <f t="shared" si="30"/>
        <v>52541.166994606829</v>
      </c>
      <c r="X29" s="12">
        <f t="shared" si="31"/>
        <v>0</v>
      </c>
      <c r="Y29" s="12">
        <f t="shared" ref="Y29:Y36" si="38">W29*$J$3</f>
        <v>0</v>
      </c>
      <c r="Z29" s="8">
        <f t="shared" si="32"/>
        <v>52541.166994606829</v>
      </c>
      <c r="AC29" s="145">
        <v>42440.293347937506</v>
      </c>
      <c r="AI29" s="414" t="s">
        <v>211</v>
      </c>
      <c r="AJ29" s="403">
        <v>3</v>
      </c>
      <c r="AK29" s="415">
        <v>45322.472191343149</v>
      </c>
    </row>
    <row r="30" spans="1:37" x14ac:dyDescent="0.25">
      <c r="A30" s="24" t="s">
        <v>212</v>
      </c>
      <c r="B30" s="2">
        <v>4</v>
      </c>
      <c r="C30" s="78">
        <v>43627.214009001</v>
      </c>
      <c r="D30" s="12">
        <f t="shared" si="26"/>
        <v>0</v>
      </c>
      <c r="E30" s="12">
        <f t="shared" si="27"/>
        <v>0</v>
      </c>
      <c r="F30" s="13">
        <f t="shared" si="28"/>
        <v>43627.214009001</v>
      </c>
      <c r="G30" s="78">
        <f t="shared" si="29"/>
        <v>47966.534568992145</v>
      </c>
      <c r="H30" s="12">
        <f t="shared" si="4"/>
        <v>0</v>
      </c>
      <c r="I30" s="12">
        <f t="shared" si="34"/>
        <v>0</v>
      </c>
      <c r="J30" s="13">
        <f t="shared" si="33"/>
        <v>47966.534568992145</v>
      </c>
      <c r="K30" s="34">
        <f t="shared" si="11"/>
        <v>49405.530606061911</v>
      </c>
      <c r="L30" s="12">
        <f t="shared" si="5"/>
        <v>0</v>
      </c>
      <c r="M30" s="12">
        <f t="shared" si="35"/>
        <v>0</v>
      </c>
      <c r="N30" s="7">
        <f t="shared" si="13"/>
        <v>49405.530606061911</v>
      </c>
      <c r="O30" s="34">
        <f t="shared" si="14"/>
        <v>50887.696524243773</v>
      </c>
      <c r="P30" s="12">
        <f t="shared" si="6"/>
        <v>0</v>
      </c>
      <c r="Q30" s="12">
        <f t="shared" si="36"/>
        <v>0</v>
      </c>
      <c r="R30" s="7">
        <f t="shared" si="16"/>
        <v>50887.696524243773</v>
      </c>
      <c r="S30" s="34">
        <f t="shared" si="17"/>
        <v>52414.327419971087</v>
      </c>
      <c r="T30" s="12">
        <f t="shared" si="7"/>
        <v>0</v>
      </c>
      <c r="U30" s="12">
        <f t="shared" si="37"/>
        <v>0</v>
      </c>
      <c r="V30" s="7">
        <f t="shared" si="19"/>
        <v>52414.327419971087</v>
      </c>
      <c r="W30" s="34">
        <f t="shared" si="30"/>
        <v>53986.757242570224</v>
      </c>
      <c r="X30" s="12">
        <f t="shared" si="31"/>
        <v>0</v>
      </c>
      <c r="Y30" s="12">
        <f t="shared" si="38"/>
        <v>0</v>
      </c>
      <c r="Z30" s="8">
        <f t="shared" si="32"/>
        <v>53986.757242570224</v>
      </c>
      <c r="AC30" s="145">
        <v>43627.214009001</v>
      </c>
      <c r="AI30" s="414" t="s">
        <v>212</v>
      </c>
      <c r="AJ30" s="403">
        <v>4</v>
      </c>
      <c r="AK30" s="415">
        <v>46569.451037856452</v>
      </c>
    </row>
    <row r="31" spans="1:37" x14ac:dyDescent="0.25">
      <c r="A31" s="24" t="s">
        <v>213</v>
      </c>
      <c r="B31" s="2">
        <v>5</v>
      </c>
      <c r="C31" s="78">
        <v>44849.421500528551</v>
      </c>
      <c r="D31" s="12">
        <f t="shared" si="26"/>
        <v>0</v>
      </c>
      <c r="E31" s="12">
        <f t="shared" si="27"/>
        <v>0</v>
      </c>
      <c r="F31" s="13">
        <f t="shared" si="28"/>
        <v>44849.421500528551</v>
      </c>
      <c r="G31" s="78">
        <f t="shared" si="29"/>
        <v>49289.107295308961</v>
      </c>
      <c r="H31" s="12">
        <f t="shared" si="4"/>
        <v>0</v>
      </c>
      <c r="I31" s="12">
        <f t="shared" si="34"/>
        <v>0</v>
      </c>
      <c r="J31" s="13">
        <f t="shared" si="33"/>
        <v>49289.107295308961</v>
      </c>
      <c r="K31" s="34">
        <f t="shared" si="11"/>
        <v>50767.780514168233</v>
      </c>
      <c r="L31" s="12">
        <f t="shared" si="5"/>
        <v>0</v>
      </c>
      <c r="M31" s="12">
        <f t="shared" si="35"/>
        <v>0</v>
      </c>
      <c r="N31" s="7">
        <f t="shared" si="13"/>
        <v>50767.780514168233</v>
      </c>
      <c r="O31" s="34">
        <f t="shared" si="14"/>
        <v>52290.813929593278</v>
      </c>
      <c r="P31" s="12">
        <f t="shared" si="6"/>
        <v>0</v>
      </c>
      <c r="Q31" s="12">
        <f t="shared" si="36"/>
        <v>0</v>
      </c>
      <c r="R31" s="7">
        <f t="shared" si="16"/>
        <v>52290.813929593278</v>
      </c>
      <c r="S31" s="34">
        <f t="shared" si="17"/>
        <v>53859.538347481081</v>
      </c>
      <c r="T31" s="12">
        <f t="shared" si="7"/>
        <v>0</v>
      </c>
      <c r="U31" s="12">
        <f t="shared" si="37"/>
        <v>0</v>
      </c>
      <c r="V31" s="7">
        <f t="shared" si="19"/>
        <v>53859.538347481081</v>
      </c>
      <c r="W31" s="34">
        <f t="shared" si="30"/>
        <v>55475.324497905516</v>
      </c>
      <c r="X31" s="12">
        <f t="shared" si="31"/>
        <v>0</v>
      </c>
      <c r="Y31" s="12">
        <f t="shared" si="38"/>
        <v>0</v>
      </c>
      <c r="Z31" s="8">
        <f t="shared" si="32"/>
        <v>55475.324497905516</v>
      </c>
      <c r="AC31" s="145">
        <v>44849.421500528551</v>
      </c>
      <c r="AI31" s="414" t="s">
        <v>213</v>
      </c>
      <c r="AJ31" s="403">
        <v>5</v>
      </c>
      <c r="AK31" s="415">
        <v>47853.502228455298</v>
      </c>
    </row>
    <row r="32" spans="1:37" x14ac:dyDescent="0.25">
      <c r="A32" s="24" t="s">
        <v>214</v>
      </c>
      <c r="B32" s="2">
        <v>6</v>
      </c>
      <c r="C32" s="78">
        <v>46109.054418305859</v>
      </c>
      <c r="D32" s="12">
        <f t="shared" si="26"/>
        <v>0</v>
      </c>
      <c r="E32" s="12">
        <f t="shared" si="27"/>
        <v>0</v>
      </c>
      <c r="F32" s="13">
        <f t="shared" si="28"/>
        <v>46109.054418305859</v>
      </c>
      <c r="G32" s="78">
        <f t="shared" si="29"/>
        <v>50652.178749028302</v>
      </c>
      <c r="H32" s="12">
        <f t="shared" si="4"/>
        <v>0</v>
      </c>
      <c r="I32" s="12">
        <f t="shared" si="34"/>
        <v>0</v>
      </c>
      <c r="J32" s="13">
        <f t="shared" si="33"/>
        <v>50652.178749028302</v>
      </c>
      <c r="K32" s="34">
        <f t="shared" si="11"/>
        <v>52171.744111499152</v>
      </c>
      <c r="L32" s="12">
        <f t="shared" si="5"/>
        <v>0</v>
      </c>
      <c r="M32" s="12">
        <f t="shared" si="35"/>
        <v>0</v>
      </c>
      <c r="N32" s="7">
        <f t="shared" si="13"/>
        <v>52171.744111499152</v>
      </c>
      <c r="O32" s="34">
        <f t="shared" si="14"/>
        <v>53736.89643484413</v>
      </c>
      <c r="P32" s="12">
        <f t="shared" si="6"/>
        <v>0</v>
      </c>
      <c r="Q32" s="12">
        <f t="shared" si="36"/>
        <v>0</v>
      </c>
      <c r="R32" s="7">
        <f t="shared" si="16"/>
        <v>53736.89643484413</v>
      </c>
      <c r="S32" s="34">
        <f t="shared" si="17"/>
        <v>55349.003327889455</v>
      </c>
      <c r="T32" s="12">
        <f t="shared" si="7"/>
        <v>0</v>
      </c>
      <c r="U32" s="12">
        <f t="shared" si="37"/>
        <v>0</v>
      </c>
      <c r="V32" s="7">
        <f t="shared" si="19"/>
        <v>55349.003327889455</v>
      </c>
      <c r="W32" s="34">
        <f t="shared" si="30"/>
        <v>57009.473427726138</v>
      </c>
      <c r="X32" s="12">
        <f t="shared" si="31"/>
        <v>0</v>
      </c>
      <c r="Y32" s="12">
        <f t="shared" si="38"/>
        <v>0</v>
      </c>
      <c r="Z32" s="8">
        <f t="shared" si="32"/>
        <v>57009.473427726138</v>
      </c>
      <c r="AC32" s="145">
        <v>46109.054418305859</v>
      </c>
      <c r="AI32" s="414" t="s">
        <v>214</v>
      </c>
      <c r="AJ32" s="403">
        <v>6</v>
      </c>
      <c r="AK32" s="415">
        <v>49176.87257187214</v>
      </c>
    </row>
    <row r="33" spans="1:37" x14ac:dyDescent="0.25">
      <c r="A33" s="24" t="s">
        <v>186</v>
      </c>
      <c r="B33" s="2"/>
      <c r="C33" s="156"/>
      <c r="D33" s="12"/>
      <c r="E33" s="12"/>
      <c r="F33" s="13"/>
      <c r="G33" s="39">
        <f t="shared" si="23"/>
        <v>0</v>
      </c>
      <c r="H33" s="12"/>
      <c r="I33" s="12"/>
      <c r="J33" s="13"/>
      <c r="K33" s="34">
        <f>G32*J5</f>
        <v>52171.744111499152</v>
      </c>
      <c r="L33" s="12">
        <f t="shared" si="5"/>
        <v>0</v>
      </c>
      <c r="M33" s="12">
        <f t="shared" si="35"/>
        <v>0</v>
      </c>
      <c r="N33" s="7">
        <f t="shared" si="13"/>
        <v>52171.744111499152</v>
      </c>
      <c r="O33" s="34">
        <f t="shared" si="14"/>
        <v>53736.89643484413</v>
      </c>
      <c r="P33" s="12">
        <f t="shared" si="6"/>
        <v>0</v>
      </c>
      <c r="Q33" s="12">
        <f t="shared" si="36"/>
        <v>0</v>
      </c>
      <c r="R33" s="7">
        <f t="shared" si="16"/>
        <v>53736.89643484413</v>
      </c>
      <c r="S33" s="34">
        <f t="shared" si="17"/>
        <v>55349.003327889455</v>
      </c>
      <c r="T33" s="12">
        <f t="shared" si="7"/>
        <v>0</v>
      </c>
      <c r="U33" s="12">
        <f t="shared" si="37"/>
        <v>0</v>
      </c>
      <c r="V33" s="7">
        <f t="shared" si="19"/>
        <v>55349.003327889455</v>
      </c>
      <c r="W33" s="34">
        <f t="shared" si="30"/>
        <v>57009.473427726138</v>
      </c>
      <c r="X33" s="12">
        <f t="shared" si="31"/>
        <v>0</v>
      </c>
      <c r="Y33" s="12">
        <f t="shared" si="38"/>
        <v>0</v>
      </c>
      <c r="Z33" s="8">
        <f t="shared" si="32"/>
        <v>57009.473427726138</v>
      </c>
      <c r="AC33" s="149"/>
      <c r="AI33" s="414" t="s">
        <v>186</v>
      </c>
      <c r="AJ33" s="403"/>
      <c r="AK33" s="421">
        <v>0</v>
      </c>
    </row>
    <row r="34" spans="1:37" x14ac:dyDescent="0.25">
      <c r="A34" s="24" t="s">
        <v>186</v>
      </c>
      <c r="B34" s="2"/>
      <c r="C34" s="156"/>
      <c r="D34" s="12"/>
      <c r="E34" s="12"/>
      <c r="F34" s="13"/>
      <c r="G34" s="39">
        <f t="shared" si="23"/>
        <v>0</v>
      </c>
      <c r="H34" s="12"/>
      <c r="I34" s="12"/>
      <c r="J34" s="13"/>
      <c r="K34" s="34"/>
      <c r="L34" s="12"/>
      <c r="M34" s="12"/>
      <c r="N34" s="7"/>
      <c r="O34" s="34">
        <f>K33*J5</f>
        <v>53736.89643484413</v>
      </c>
      <c r="P34" s="12">
        <f t="shared" si="6"/>
        <v>0</v>
      </c>
      <c r="Q34" s="12">
        <f t="shared" si="36"/>
        <v>0</v>
      </c>
      <c r="R34" s="7">
        <f t="shared" si="16"/>
        <v>53736.89643484413</v>
      </c>
      <c r="S34" s="34">
        <f t="shared" si="17"/>
        <v>55349.003327889455</v>
      </c>
      <c r="T34" s="12">
        <f t="shared" si="7"/>
        <v>0</v>
      </c>
      <c r="U34" s="12">
        <f t="shared" si="37"/>
        <v>0</v>
      </c>
      <c r="V34" s="7">
        <f t="shared" si="19"/>
        <v>55349.003327889455</v>
      </c>
      <c r="W34" s="34">
        <f t="shared" si="30"/>
        <v>57009.473427726138</v>
      </c>
      <c r="X34" s="12">
        <f t="shared" si="31"/>
        <v>0</v>
      </c>
      <c r="Y34" s="12">
        <f t="shared" si="38"/>
        <v>0</v>
      </c>
      <c r="Z34" s="8">
        <f t="shared" si="32"/>
        <v>57009.473427726138</v>
      </c>
      <c r="AC34" s="149"/>
      <c r="AI34" s="414" t="s">
        <v>186</v>
      </c>
      <c r="AJ34" s="403"/>
      <c r="AK34" s="421">
        <v>0</v>
      </c>
    </row>
    <row r="35" spans="1:37" x14ac:dyDescent="0.25">
      <c r="A35" s="24" t="s">
        <v>186</v>
      </c>
      <c r="B35" s="2"/>
      <c r="C35" s="156"/>
      <c r="D35" s="12"/>
      <c r="E35" s="12"/>
      <c r="F35" s="13"/>
      <c r="G35" s="39">
        <f t="shared" si="23"/>
        <v>0</v>
      </c>
      <c r="H35" s="12"/>
      <c r="I35" s="12"/>
      <c r="J35" s="13"/>
      <c r="K35" s="34"/>
      <c r="L35" s="12"/>
      <c r="M35" s="12"/>
      <c r="N35" s="7"/>
      <c r="O35" s="34"/>
      <c r="P35" s="12"/>
      <c r="Q35" s="12"/>
      <c r="R35" s="7"/>
      <c r="S35" s="34">
        <f>O34*J5</f>
        <v>55349.003327889455</v>
      </c>
      <c r="T35" s="12">
        <f t="shared" si="7"/>
        <v>0</v>
      </c>
      <c r="U35" s="12">
        <f t="shared" si="37"/>
        <v>0</v>
      </c>
      <c r="V35" s="7">
        <f t="shared" si="19"/>
        <v>55349.003327889455</v>
      </c>
      <c r="W35" s="34">
        <f>S34*J5</f>
        <v>57009.473427726138</v>
      </c>
      <c r="X35" s="12">
        <f t="shared" si="31"/>
        <v>0</v>
      </c>
      <c r="Y35" s="12">
        <f t="shared" si="38"/>
        <v>0</v>
      </c>
      <c r="Z35" s="8">
        <f t="shared" si="32"/>
        <v>57009.473427726138</v>
      </c>
      <c r="AC35" s="149"/>
      <c r="AI35" s="414" t="s">
        <v>186</v>
      </c>
      <c r="AJ35" s="403"/>
      <c r="AK35" s="421">
        <v>0</v>
      </c>
    </row>
    <row r="36" spans="1:37" ht="15.75" thickBot="1" x14ac:dyDescent="0.3">
      <c r="A36" s="25" t="s">
        <v>186</v>
      </c>
      <c r="B36" s="9"/>
      <c r="C36" s="157"/>
      <c r="D36" s="14"/>
      <c r="E36" s="14"/>
      <c r="F36" s="15"/>
      <c r="G36" s="40">
        <f t="shared" si="23"/>
        <v>0</v>
      </c>
      <c r="H36" s="14"/>
      <c r="I36" s="14"/>
      <c r="J36" s="15"/>
      <c r="K36" s="35"/>
      <c r="L36" s="14"/>
      <c r="M36" s="14"/>
      <c r="N36" s="10"/>
      <c r="O36" s="35"/>
      <c r="P36" s="14"/>
      <c r="Q36" s="14"/>
      <c r="R36" s="10"/>
      <c r="S36" s="35"/>
      <c r="T36" s="14"/>
      <c r="U36" s="14"/>
      <c r="V36" s="10"/>
      <c r="W36" s="35">
        <f>S34*J5</f>
        <v>57009.473427726138</v>
      </c>
      <c r="X36" s="14">
        <f t="shared" si="31"/>
        <v>0</v>
      </c>
      <c r="Y36" s="14">
        <f t="shared" si="38"/>
        <v>0</v>
      </c>
      <c r="Z36" s="11">
        <f t="shared" si="32"/>
        <v>57009.473427726138</v>
      </c>
      <c r="AC36" s="150"/>
      <c r="AI36" s="418" t="s">
        <v>186</v>
      </c>
      <c r="AJ36" s="419"/>
      <c r="AK36" s="422">
        <v>0</v>
      </c>
    </row>
    <row r="37" spans="1:37" x14ac:dyDescent="0.25">
      <c r="A37" s="26" t="s">
        <v>215</v>
      </c>
      <c r="B37" s="27">
        <v>1</v>
      </c>
      <c r="C37" s="81">
        <v>47406.112762332901</v>
      </c>
      <c r="D37" s="41">
        <f>C37*$J$2</f>
        <v>0</v>
      </c>
      <c r="E37" s="41">
        <f>C37*$J$3</f>
        <v>0</v>
      </c>
      <c r="F37" s="42">
        <f>SUM(C37:E37)</f>
        <v>47406.112762332901</v>
      </c>
      <c r="G37" s="37">
        <f>AK37*1.03</f>
        <v>52055.748930150156</v>
      </c>
      <c r="H37" s="41">
        <f t="shared" si="4"/>
        <v>0</v>
      </c>
      <c r="I37" s="41">
        <f>G37*$J$3</f>
        <v>0</v>
      </c>
      <c r="J37" s="42">
        <f>SUM(G37:I37)</f>
        <v>52055.748930150156</v>
      </c>
      <c r="K37" s="37">
        <f t="shared" si="11"/>
        <v>53617.421398054663</v>
      </c>
      <c r="L37" s="41">
        <f t="shared" si="5"/>
        <v>0</v>
      </c>
      <c r="M37" s="41">
        <f>K37*$J$3</f>
        <v>0</v>
      </c>
      <c r="N37" s="28">
        <f t="shared" si="13"/>
        <v>53617.421398054663</v>
      </c>
      <c r="O37" s="37">
        <f t="shared" si="14"/>
        <v>55225.944039996306</v>
      </c>
      <c r="P37" s="41">
        <f t="shared" si="6"/>
        <v>0</v>
      </c>
      <c r="Q37" s="41">
        <f>O37*$J$3</f>
        <v>0</v>
      </c>
      <c r="R37" s="28">
        <f t="shared" si="16"/>
        <v>55225.944039996306</v>
      </c>
      <c r="S37" s="37">
        <f t="shared" si="17"/>
        <v>56882.722361196196</v>
      </c>
      <c r="T37" s="41">
        <f t="shared" si="7"/>
        <v>0</v>
      </c>
      <c r="U37" s="41">
        <f>S37*$J$3</f>
        <v>0</v>
      </c>
      <c r="V37" s="28">
        <f t="shared" si="19"/>
        <v>56882.722361196196</v>
      </c>
      <c r="W37" s="37">
        <f t="shared" ref="W37:W42" si="39">S37*$J$5</f>
        <v>58589.204032032081</v>
      </c>
      <c r="X37" s="41">
        <f t="shared" ref="X37:X44" si="40">W37*$J$2</f>
        <v>0</v>
      </c>
      <c r="Y37" s="41">
        <f>W37*$J$3</f>
        <v>0</v>
      </c>
      <c r="Z37" s="29">
        <f t="shared" ref="Z37:Z44" si="41">SUM(W37:Y37)</f>
        <v>58589.204032032081</v>
      </c>
      <c r="AC37" s="144">
        <v>47406.112762332901</v>
      </c>
      <c r="AI37" s="411" t="s">
        <v>215</v>
      </c>
      <c r="AJ37" s="412">
        <v>1</v>
      </c>
      <c r="AK37" s="413">
        <v>50539.562068106949</v>
      </c>
    </row>
    <row r="38" spans="1:37" x14ac:dyDescent="0.25">
      <c r="A38" s="24" t="s">
        <v>216</v>
      </c>
      <c r="B38" s="2">
        <v>2</v>
      </c>
      <c r="C38" s="78">
        <v>48741.781135637553</v>
      </c>
      <c r="D38" s="12">
        <f>C38*$J$2</f>
        <v>0</v>
      </c>
      <c r="E38" s="12">
        <f>C38*$J$3</f>
        <v>0</v>
      </c>
      <c r="F38" s="13">
        <f>SUM(C38:E38)</f>
        <v>48741.781135637553</v>
      </c>
      <c r="G38" s="78">
        <f>AK38*1.03</f>
        <v>53519.528714717839</v>
      </c>
      <c r="H38" s="12">
        <f t="shared" si="4"/>
        <v>0</v>
      </c>
      <c r="I38" s="12">
        <f t="shared" ref="I38:I40" si="42">G38*$J$3</f>
        <v>0</v>
      </c>
      <c r="J38" s="13">
        <f t="shared" ref="J38:J40" si="43">SUM(G38:I38)</f>
        <v>53519.528714717839</v>
      </c>
      <c r="K38" s="34">
        <f t="shared" si="11"/>
        <v>55125.114576159373</v>
      </c>
      <c r="L38" s="12">
        <f t="shared" si="5"/>
        <v>0</v>
      </c>
      <c r="M38" s="12">
        <f t="shared" ref="M38:M41" si="44">K38*$J$3</f>
        <v>0</v>
      </c>
      <c r="N38" s="7">
        <f t="shared" si="13"/>
        <v>55125.114576159373</v>
      </c>
      <c r="O38" s="34">
        <f t="shared" si="14"/>
        <v>56778.868013444153</v>
      </c>
      <c r="P38" s="12">
        <f t="shared" si="6"/>
        <v>0</v>
      </c>
      <c r="Q38" s="12">
        <f t="shared" ref="Q38:Q42" si="45">O38*$J$3</f>
        <v>0</v>
      </c>
      <c r="R38" s="7">
        <f t="shared" si="16"/>
        <v>56778.868013444153</v>
      </c>
      <c r="S38" s="34">
        <f t="shared" si="17"/>
        <v>58482.234053847482</v>
      </c>
      <c r="T38" s="12">
        <f t="shared" si="7"/>
        <v>0</v>
      </c>
      <c r="U38" s="12">
        <f t="shared" ref="U38:U43" si="46">S38*$J$3</f>
        <v>0</v>
      </c>
      <c r="V38" s="7">
        <f t="shared" si="19"/>
        <v>58482.234053847482</v>
      </c>
      <c r="W38" s="34">
        <f t="shared" si="39"/>
        <v>60236.701075462908</v>
      </c>
      <c r="X38" s="12">
        <f t="shared" si="40"/>
        <v>0</v>
      </c>
      <c r="Y38" s="12">
        <f t="shared" ref="Y38:Y44" si="47">W38*$J$3</f>
        <v>0</v>
      </c>
      <c r="Z38" s="8">
        <f t="shared" si="41"/>
        <v>60236.701075462908</v>
      </c>
      <c r="AC38" s="145">
        <v>48741.781135637553</v>
      </c>
      <c r="AI38" s="414" t="s">
        <v>216</v>
      </c>
      <c r="AJ38" s="403">
        <v>2</v>
      </c>
      <c r="AK38" s="415">
        <v>51960.707490017317</v>
      </c>
    </row>
    <row r="39" spans="1:37" x14ac:dyDescent="0.25">
      <c r="A39" s="24" t="s">
        <v>217</v>
      </c>
      <c r="B39" s="2">
        <v>3</v>
      </c>
      <c r="C39" s="78">
        <v>50117.852218600507</v>
      </c>
      <c r="D39" s="12">
        <f>C39*$J$2</f>
        <v>0</v>
      </c>
      <c r="E39" s="12">
        <f>C39*$J$3</f>
        <v>0</v>
      </c>
      <c r="F39" s="13">
        <f>SUM(C39:E39)</f>
        <v>50117.852218600507</v>
      </c>
      <c r="G39" s="78">
        <f>AK39*1.03</f>
        <v>55042.734137915788</v>
      </c>
      <c r="H39" s="12">
        <f t="shared" si="4"/>
        <v>0</v>
      </c>
      <c r="I39" s="12">
        <f t="shared" si="42"/>
        <v>0</v>
      </c>
      <c r="J39" s="13">
        <f t="shared" si="43"/>
        <v>55042.734137915788</v>
      </c>
      <c r="K39" s="34">
        <f t="shared" si="11"/>
        <v>56694.01616205326</v>
      </c>
      <c r="L39" s="12">
        <f t="shared" si="5"/>
        <v>0</v>
      </c>
      <c r="M39" s="12">
        <f t="shared" si="44"/>
        <v>0</v>
      </c>
      <c r="N39" s="12">
        <f t="shared" ref="N39:N41" si="48">SUM(K39:M39)</f>
        <v>56694.01616205326</v>
      </c>
      <c r="O39" s="34">
        <f t="shared" si="14"/>
        <v>58394.83664691486</v>
      </c>
      <c r="P39" s="12">
        <f t="shared" si="6"/>
        <v>0</v>
      </c>
      <c r="Q39" s="12">
        <f t="shared" si="45"/>
        <v>0</v>
      </c>
      <c r="R39" s="7">
        <f t="shared" si="16"/>
        <v>58394.83664691486</v>
      </c>
      <c r="S39" s="34">
        <f t="shared" si="17"/>
        <v>60146.681746322305</v>
      </c>
      <c r="T39" s="12">
        <f t="shared" si="7"/>
        <v>0</v>
      </c>
      <c r="U39" s="12">
        <f t="shared" si="46"/>
        <v>0</v>
      </c>
      <c r="V39" s="7">
        <f t="shared" si="19"/>
        <v>60146.681746322305</v>
      </c>
      <c r="W39" s="34">
        <f t="shared" si="39"/>
        <v>61951.082198711978</v>
      </c>
      <c r="X39" s="12">
        <f t="shared" si="40"/>
        <v>0</v>
      </c>
      <c r="Y39" s="12">
        <f t="shared" si="47"/>
        <v>0</v>
      </c>
      <c r="Z39" s="8">
        <f t="shared" si="41"/>
        <v>61951.082198711978</v>
      </c>
      <c r="AC39" s="145">
        <v>50117.852218600507</v>
      </c>
      <c r="AI39" s="414" t="s">
        <v>217</v>
      </c>
      <c r="AJ39" s="403">
        <v>3</v>
      </c>
      <c r="AK39" s="415">
        <v>53439.547706714358</v>
      </c>
    </row>
    <row r="40" spans="1:37" x14ac:dyDescent="0.25">
      <c r="A40" s="24" t="s">
        <v>218</v>
      </c>
      <c r="B40" s="2">
        <v>4</v>
      </c>
      <c r="C40" s="78">
        <v>51545.018645893026</v>
      </c>
      <c r="D40" s="12">
        <f>C40*$J$2</f>
        <v>0</v>
      </c>
      <c r="E40" s="12">
        <f>C40*$J$3</f>
        <v>0</v>
      </c>
      <c r="F40" s="13">
        <f>SUM(C40:E40)</f>
        <v>51545.018645893026</v>
      </c>
      <c r="G40" s="78">
        <f>AK40*1.03</f>
        <v>56614.459374362312</v>
      </c>
      <c r="H40" s="12">
        <f t="shared" si="4"/>
        <v>0</v>
      </c>
      <c r="I40" s="12">
        <f t="shared" si="42"/>
        <v>0</v>
      </c>
      <c r="J40" s="13">
        <f t="shared" si="43"/>
        <v>56614.459374362312</v>
      </c>
      <c r="K40" s="34">
        <f t="shared" si="11"/>
        <v>58312.893155593185</v>
      </c>
      <c r="L40" s="12">
        <f t="shared" si="5"/>
        <v>0</v>
      </c>
      <c r="M40" s="12">
        <f t="shared" si="44"/>
        <v>0</v>
      </c>
      <c r="N40" s="12">
        <f t="shared" si="48"/>
        <v>58312.893155593185</v>
      </c>
      <c r="O40" s="34">
        <f t="shared" si="14"/>
        <v>60062.279950260985</v>
      </c>
      <c r="P40" s="12">
        <f t="shared" si="6"/>
        <v>0</v>
      </c>
      <c r="Q40" s="12">
        <f t="shared" si="45"/>
        <v>0</v>
      </c>
      <c r="R40" s="7">
        <f t="shared" si="16"/>
        <v>60062.279950260985</v>
      </c>
      <c r="S40" s="34">
        <f t="shared" si="17"/>
        <v>61864.148348768817</v>
      </c>
      <c r="T40" s="12">
        <f t="shared" si="7"/>
        <v>0</v>
      </c>
      <c r="U40" s="12">
        <f t="shared" si="46"/>
        <v>0</v>
      </c>
      <c r="V40" s="7">
        <f t="shared" si="19"/>
        <v>61864.148348768817</v>
      </c>
      <c r="W40" s="34">
        <f t="shared" si="39"/>
        <v>63720.072799231886</v>
      </c>
      <c r="X40" s="12">
        <f t="shared" si="40"/>
        <v>0</v>
      </c>
      <c r="Y40" s="12">
        <f t="shared" si="47"/>
        <v>0</v>
      </c>
      <c r="Z40" s="8">
        <f t="shared" si="41"/>
        <v>63720.072799231886</v>
      </c>
      <c r="AC40" s="145">
        <v>51545.018645893026</v>
      </c>
      <c r="AI40" s="414" t="s">
        <v>218</v>
      </c>
      <c r="AJ40" s="403">
        <v>4</v>
      </c>
      <c r="AK40" s="415">
        <v>54965.494538215833</v>
      </c>
    </row>
    <row r="41" spans="1:37" x14ac:dyDescent="0.25">
      <c r="A41" s="24" t="s">
        <v>187</v>
      </c>
      <c r="B41" s="2"/>
      <c r="C41" s="156"/>
      <c r="D41" s="12"/>
      <c r="E41" s="12"/>
      <c r="F41" s="13"/>
      <c r="G41" s="39">
        <f t="shared" si="23"/>
        <v>0</v>
      </c>
      <c r="H41" s="12"/>
      <c r="I41" s="12"/>
      <c r="J41" s="13"/>
      <c r="K41" s="34">
        <f>G40*J5</f>
        <v>58312.893155593185</v>
      </c>
      <c r="L41" s="12">
        <f t="shared" si="5"/>
        <v>0</v>
      </c>
      <c r="M41" s="12">
        <f t="shared" si="44"/>
        <v>0</v>
      </c>
      <c r="N41" s="12">
        <f t="shared" si="48"/>
        <v>58312.893155593185</v>
      </c>
      <c r="O41" s="34">
        <f t="shared" si="14"/>
        <v>60062.279950260985</v>
      </c>
      <c r="P41" s="12">
        <f t="shared" si="6"/>
        <v>0</v>
      </c>
      <c r="Q41" s="12">
        <f t="shared" si="45"/>
        <v>0</v>
      </c>
      <c r="R41" s="7">
        <f t="shared" si="16"/>
        <v>60062.279950260985</v>
      </c>
      <c r="S41" s="34">
        <f t="shared" si="17"/>
        <v>61864.148348768817</v>
      </c>
      <c r="T41" s="12">
        <f t="shared" si="7"/>
        <v>0</v>
      </c>
      <c r="U41" s="12">
        <f t="shared" si="46"/>
        <v>0</v>
      </c>
      <c r="V41" s="7">
        <f t="shared" si="19"/>
        <v>61864.148348768817</v>
      </c>
      <c r="W41" s="34">
        <f t="shared" si="39"/>
        <v>63720.072799231886</v>
      </c>
      <c r="X41" s="12">
        <f t="shared" si="40"/>
        <v>0</v>
      </c>
      <c r="Y41" s="12">
        <f t="shared" si="47"/>
        <v>0</v>
      </c>
      <c r="Z41" s="8">
        <f t="shared" si="41"/>
        <v>63720.072799231886</v>
      </c>
      <c r="AC41" s="149"/>
      <c r="AI41" s="414" t="s">
        <v>187</v>
      </c>
      <c r="AJ41" s="403"/>
      <c r="AK41" s="421">
        <v>0</v>
      </c>
    </row>
    <row r="42" spans="1:37" x14ac:dyDescent="0.25">
      <c r="A42" s="24" t="s">
        <v>187</v>
      </c>
      <c r="B42" s="2"/>
      <c r="C42" s="156"/>
      <c r="D42" s="12"/>
      <c r="E42" s="12"/>
      <c r="F42" s="13"/>
      <c r="G42" s="39">
        <f t="shared" si="23"/>
        <v>0</v>
      </c>
      <c r="H42" s="12"/>
      <c r="I42" s="12"/>
      <c r="J42" s="13"/>
      <c r="K42" s="34"/>
      <c r="L42" s="12"/>
      <c r="M42" s="12"/>
      <c r="N42" s="12"/>
      <c r="O42" s="34">
        <f>K41*J5</f>
        <v>60062.279950260985</v>
      </c>
      <c r="P42" s="12">
        <f t="shared" si="6"/>
        <v>0</v>
      </c>
      <c r="Q42" s="12">
        <f t="shared" si="45"/>
        <v>0</v>
      </c>
      <c r="R42" s="7">
        <f t="shared" si="16"/>
        <v>60062.279950260985</v>
      </c>
      <c r="S42" s="34">
        <f t="shared" si="17"/>
        <v>61864.148348768817</v>
      </c>
      <c r="T42" s="12">
        <f t="shared" si="7"/>
        <v>0</v>
      </c>
      <c r="U42" s="12">
        <f t="shared" si="46"/>
        <v>0</v>
      </c>
      <c r="V42" s="7">
        <f t="shared" si="19"/>
        <v>61864.148348768817</v>
      </c>
      <c r="W42" s="34">
        <f t="shared" si="39"/>
        <v>63720.072799231886</v>
      </c>
      <c r="X42" s="12">
        <f t="shared" si="40"/>
        <v>0</v>
      </c>
      <c r="Y42" s="12">
        <f t="shared" si="47"/>
        <v>0</v>
      </c>
      <c r="Z42" s="8">
        <f t="shared" si="41"/>
        <v>63720.072799231886</v>
      </c>
      <c r="AC42" s="149"/>
      <c r="AI42" s="414" t="s">
        <v>187</v>
      </c>
      <c r="AJ42" s="403"/>
      <c r="AK42" s="421">
        <v>0</v>
      </c>
    </row>
    <row r="43" spans="1:37" x14ac:dyDescent="0.25">
      <c r="A43" s="24" t="s">
        <v>187</v>
      </c>
      <c r="B43" s="2"/>
      <c r="C43" s="156"/>
      <c r="D43" s="12"/>
      <c r="E43" s="12"/>
      <c r="F43" s="13"/>
      <c r="G43" s="39">
        <f t="shared" si="23"/>
        <v>0</v>
      </c>
      <c r="H43" s="12"/>
      <c r="I43" s="12"/>
      <c r="J43" s="13"/>
      <c r="K43" s="34"/>
      <c r="L43" s="12"/>
      <c r="M43" s="12"/>
      <c r="N43" s="12"/>
      <c r="O43" s="34"/>
      <c r="P43" s="12"/>
      <c r="Q43" s="12"/>
      <c r="R43" s="7"/>
      <c r="S43" s="34">
        <f>O42*J5</f>
        <v>61864.148348768817</v>
      </c>
      <c r="T43" s="12">
        <f t="shared" si="7"/>
        <v>0</v>
      </c>
      <c r="U43" s="12">
        <f t="shared" si="46"/>
        <v>0</v>
      </c>
      <c r="V43" s="7">
        <f t="shared" si="19"/>
        <v>61864.148348768817</v>
      </c>
      <c r="W43" s="34">
        <f>S42*J5</f>
        <v>63720.072799231886</v>
      </c>
      <c r="X43" s="12">
        <f t="shared" si="40"/>
        <v>0</v>
      </c>
      <c r="Y43" s="12">
        <f t="shared" si="47"/>
        <v>0</v>
      </c>
      <c r="Z43" s="8">
        <f t="shared" si="41"/>
        <v>63720.072799231886</v>
      </c>
      <c r="AC43" s="149"/>
      <c r="AI43" s="414" t="s">
        <v>187</v>
      </c>
      <c r="AJ43" s="403"/>
      <c r="AK43" s="421">
        <v>0</v>
      </c>
    </row>
    <row r="44" spans="1:37" ht="15.75" thickBot="1" x14ac:dyDescent="0.3">
      <c r="A44" s="25" t="s">
        <v>187</v>
      </c>
      <c r="B44" s="9"/>
      <c r="C44" s="157"/>
      <c r="D44" s="14"/>
      <c r="E44" s="14"/>
      <c r="F44" s="15"/>
      <c r="G44" s="40">
        <f t="shared" si="23"/>
        <v>0</v>
      </c>
      <c r="H44" s="14"/>
      <c r="I44" s="14"/>
      <c r="J44" s="15"/>
      <c r="K44" s="35"/>
      <c r="L44" s="14"/>
      <c r="M44" s="14"/>
      <c r="N44" s="14"/>
      <c r="O44" s="35"/>
      <c r="P44" s="14"/>
      <c r="Q44" s="14"/>
      <c r="R44" s="10"/>
      <c r="S44" s="35"/>
      <c r="T44" s="14"/>
      <c r="U44" s="14"/>
      <c r="V44" s="10"/>
      <c r="W44" s="35">
        <f>S43*J5</f>
        <v>63720.072799231886</v>
      </c>
      <c r="X44" s="14">
        <f t="shared" si="40"/>
        <v>0</v>
      </c>
      <c r="Y44" s="14">
        <f t="shared" si="47"/>
        <v>0</v>
      </c>
      <c r="Z44" s="11">
        <f t="shared" si="41"/>
        <v>63720.072799231886</v>
      </c>
      <c r="AC44" s="150"/>
      <c r="AI44" s="418" t="s">
        <v>187</v>
      </c>
      <c r="AJ44" s="419"/>
      <c r="AK44" s="422">
        <v>0</v>
      </c>
    </row>
    <row r="45" spans="1:37" x14ac:dyDescent="0.25">
      <c r="A45" s="26" t="s">
        <v>98</v>
      </c>
      <c r="B45" s="27">
        <v>1</v>
      </c>
      <c r="C45" s="81">
        <v>57502.126784642176</v>
      </c>
      <c r="D45" s="41">
        <f>C45*$J$2</f>
        <v>0</v>
      </c>
      <c r="E45" s="41">
        <f>C45*$J$4</f>
        <v>0</v>
      </c>
      <c r="F45" s="42">
        <f>SUM(C45:E45)</f>
        <v>57502.126784642176</v>
      </c>
      <c r="G45" s="37">
        <f>AK45*1.03</f>
        <v>63157.447728422572</v>
      </c>
      <c r="H45" s="41">
        <f t="shared" si="4"/>
        <v>0</v>
      </c>
      <c r="I45" s="41">
        <f t="shared" ref="I45:I56" si="49">G45*$J$4</f>
        <v>0</v>
      </c>
      <c r="J45" s="42">
        <f>SUM(G45:I45)</f>
        <v>63157.447728422572</v>
      </c>
      <c r="K45" s="37">
        <f t="shared" si="11"/>
        <v>65052.171160275248</v>
      </c>
      <c r="L45" s="41">
        <f t="shared" si="5"/>
        <v>0</v>
      </c>
      <c r="M45" s="41">
        <f t="shared" ref="M45:M57" si="50">K45*$J$4</f>
        <v>0</v>
      </c>
      <c r="N45" s="41">
        <f>SUM(K45:M45)</f>
        <v>65052.171160275248</v>
      </c>
      <c r="O45" s="37">
        <f t="shared" si="14"/>
        <v>67003.736295083509</v>
      </c>
      <c r="P45" s="41">
        <f t="shared" si="6"/>
        <v>0</v>
      </c>
      <c r="Q45" s="41">
        <f t="shared" ref="Q45:Q58" si="51">O45*$J$4</f>
        <v>0</v>
      </c>
      <c r="R45" s="28">
        <f t="shared" si="16"/>
        <v>67003.736295083509</v>
      </c>
      <c r="S45" s="37">
        <f t="shared" si="17"/>
        <v>69013.848383936012</v>
      </c>
      <c r="T45" s="41">
        <f t="shared" si="7"/>
        <v>0</v>
      </c>
      <c r="U45" s="41">
        <f t="shared" ref="U45:U59" si="52">S45*$J$4</f>
        <v>0</v>
      </c>
      <c r="V45" s="28">
        <f t="shared" si="19"/>
        <v>69013.848383936012</v>
      </c>
      <c r="W45" s="37">
        <f t="shared" ref="W45:W50" si="53">S45*$J$5</f>
        <v>71084.263835454098</v>
      </c>
      <c r="X45" s="41">
        <f t="shared" ref="X45:X52" si="54">W45*$J$2</f>
        <v>0</v>
      </c>
      <c r="Y45" s="41">
        <f t="shared" ref="Y45:Y52" si="55">W45*$J$4</f>
        <v>0</v>
      </c>
      <c r="Z45" s="29">
        <f t="shared" ref="Z45:Z52" si="56">SUM(W45:Y45)</f>
        <v>71084.263835454098</v>
      </c>
      <c r="AC45" s="144">
        <v>57502.126784642176</v>
      </c>
      <c r="AI45" s="411" t="s">
        <v>98</v>
      </c>
      <c r="AJ45" s="412">
        <v>1</v>
      </c>
      <c r="AK45" s="413">
        <v>61317.910415944243</v>
      </c>
    </row>
    <row r="46" spans="1:37" x14ac:dyDescent="0.25">
      <c r="A46" s="24" t="s">
        <v>99</v>
      </c>
      <c r="B46" s="2">
        <v>2</v>
      </c>
      <c r="C46" s="78">
        <v>59169.945888020979</v>
      </c>
      <c r="D46" s="12">
        <f>C46*$J$2</f>
        <v>0</v>
      </c>
      <c r="E46" s="12">
        <f>C46*$J$4</f>
        <v>0</v>
      </c>
      <c r="F46" s="13">
        <f>SUM(C46:E46)</f>
        <v>59169.945888020979</v>
      </c>
      <c r="G46" s="78">
        <f>AK46*1.03</f>
        <v>64989.296457020282</v>
      </c>
      <c r="H46" s="12">
        <f t="shared" si="4"/>
        <v>0</v>
      </c>
      <c r="I46" s="12">
        <f t="shared" si="49"/>
        <v>0</v>
      </c>
      <c r="J46" s="13">
        <f t="shared" ref="J46:J48" si="57">SUM(G46:I46)</f>
        <v>64989.296457020282</v>
      </c>
      <c r="K46" s="34">
        <f t="shared" si="11"/>
        <v>66938.975350730892</v>
      </c>
      <c r="L46" s="12">
        <f t="shared" si="5"/>
        <v>0</v>
      </c>
      <c r="M46" s="12">
        <f t="shared" si="50"/>
        <v>0</v>
      </c>
      <c r="N46" s="12">
        <f t="shared" ref="N46:N49" si="58">SUM(K46:M46)</f>
        <v>66938.975350730892</v>
      </c>
      <c r="O46" s="34">
        <f t="shared" si="14"/>
        <v>68947.144611252821</v>
      </c>
      <c r="P46" s="12">
        <f t="shared" si="6"/>
        <v>0</v>
      </c>
      <c r="Q46" s="12">
        <f t="shared" si="51"/>
        <v>0</v>
      </c>
      <c r="R46" s="7">
        <f t="shared" si="16"/>
        <v>68947.144611252821</v>
      </c>
      <c r="S46" s="34">
        <f t="shared" si="17"/>
        <v>71015.558949590413</v>
      </c>
      <c r="T46" s="12">
        <f t="shared" si="7"/>
        <v>0</v>
      </c>
      <c r="U46" s="12">
        <f t="shared" si="52"/>
        <v>0</v>
      </c>
      <c r="V46" s="7">
        <f t="shared" si="19"/>
        <v>71015.558949590413</v>
      </c>
      <c r="W46" s="34">
        <f t="shared" si="53"/>
        <v>73146.025718078134</v>
      </c>
      <c r="X46" s="12">
        <f t="shared" si="54"/>
        <v>0</v>
      </c>
      <c r="Y46" s="12">
        <f t="shared" si="55"/>
        <v>0</v>
      </c>
      <c r="Z46" s="8">
        <f t="shared" si="56"/>
        <v>73146.025718078134</v>
      </c>
      <c r="AC46" s="145">
        <v>59169.945888020979</v>
      </c>
      <c r="AI46" s="414" t="s">
        <v>99</v>
      </c>
      <c r="AJ46" s="403">
        <v>2</v>
      </c>
      <c r="AK46" s="415">
        <v>63096.404327204153</v>
      </c>
    </row>
    <row r="47" spans="1:37" x14ac:dyDescent="0.25">
      <c r="A47" s="24" t="s">
        <v>100</v>
      </c>
      <c r="B47" s="2">
        <v>3</v>
      </c>
      <c r="C47" s="78">
        <v>60887.941367302628</v>
      </c>
      <c r="D47" s="12">
        <f>C47*$J$2</f>
        <v>0</v>
      </c>
      <c r="E47" s="12">
        <f>C47*$J$4</f>
        <v>0</v>
      </c>
      <c r="F47" s="13">
        <f>SUM(C47:E47)</f>
        <v>60887.941367302628</v>
      </c>
      <c r="G47" s="78">
        <f>AK47*1.03</f>
        <v>66876.256396550336</v>
      </c>
      <c r="H47" s="12">
        <f t="shared" si="4"/>
        <v>0</v>
      </c>
      <c r="I47" s="12">
        <f t="shared" si="49"/>
        <v>0</v>
      </c>
      <c r="J47" s="13">
        <f t="shared" si="57"/>
        <v>66876.256396550336</v>
      </c>
      <c r="K47" s="34">
        <f t="shared" si="11"/>
        <v>68882.544088446841</v>
      </c>
      <c r="L47" s="12">
        <f t="shared" si="5"/>
        <v>0</v>
      </c>
      <c r="M47" s="12">
        <f t="shared" si="50"/>
        <v>0</v>
      </c>
      <c r="N47" s="12">
        <f t="shared" si="58"/>
        <v>68882.544088446841</v>
      </c>
      <c r="O47" s="34">
        <f t="shared" si="14"/>
        <v>70949.020411100253</v>
      </c>
      <c r="P47" s="12">
        <f t="shared" si="6"/>
        <v>0</v>
      </c>
      <c r="Q47" s="12">
        <f t="shared" si="51"/>
        <v>0</v>
      </c>
      <c r="R47" s="12">
        <f t="shared" ref="R47:R50" si="59">SUM(O47:Q47)</f>
        <v>70949.020411100253</v>
      </c>
      <c r="S47" s="34">
        <f t="shared" si="17"/>
        <v>73077.491023433264</v>
      </c>
      <c r="T47" s="12">
        <f t="shared" si="7"/>
        <v>0</v>
      </c>
      <c r="U47" s="12">
        <f t="shared" si="52"/>
        <v>0</v>
      </c>
      <c r="V47" s="7">
        <f t="shared" si="19"/>
        <v>73077.491023433264</v>
      </c>
      <c r="W47" s="34">
        <f t="shared" si="53"/>
        <v>75269.81575413626</v>
      </c>
      <c r="X47" s="12">
        <f t="shared" si="54"/>
        <v>0</v>
      </c>
      <c r="Y47" s="12">
        <f t="shared" si="55"/>
        <v>0</v>
      </c>
      <c r="Z47" s="8">
        <f t="shared" si="56"/>
        <v>75269.81575413626</v>
      </c>
      <c r="AC47" s="145">
        <v>60887.941367302628</v>
      </c>
      <c r="AI47" s="414" t="s">
        <v>100</v>
      </c>
      <c r="AJ47" s="403">
        <v>3</v>
      </c>
      <c r="AK47" s="415">
        <v>64928.404268495469</v>
      </c>
    </row>
    <row r="48" spans="1:37" ht="17.25" customHeight="1" x14ac:dyDescent="0.25">
      <c r="A48" s="24" t="s">
        <v>101</v>
      </c>
      <c r="B48" s="2">
        <v>4</v>
      </c>
      <c r="C48" s="78">
        <v>62657.204013267597</v>
      </c>
      <c r="D48" s="12">
        <f>C48*$J$2</f>
        <v>0</v>
      </c>
      <c r="E48" s="12">
        <f>C48*$J$4</f>
        <v>0</v>
      </c>
      <c r="F48" s="13">
        <f>SUM(C48:E48)</f>
        <v>62657.204013267597</v>
      </c>
      <c r="G48" s="78">
        <f>AK48*1.03</f>
        <v>68819.525616815547</v>
      </c>
      <c r="H48" s="12">
        <f t="shared" si="4"/>
        <v>0</v>
      </c>
      <c r="I48" s="12">
        <f t="shared" si="49"/>
        <v>0</v>
      </c>
      <c r="J48" s="13">
        <f t="shared" si="57"/>
        <v>68819.525616815547</v>
      </c>
      <c r="K48" s="34">
        <f t="shared" si="11"/>
        <v>70884.111385320008</v>
      </c>
      <c r="L48" s="12">
        <f t="shared" si="5"/>
        <v>0</v>
      </c>
      <c r="M48" s="12">
        <f t="shared" si="50"/>
        <v>0</v>
      </c>
      <c r="N48" s="12">
        <f t="shared" si="58"/>
        <v>70884.111385320008</v>
      </c>
      <c r="O48" s="34">
        <f t="shared" si="14"/>
        <v>73010.634726879609</v>
      </c>
      <c r="P48" s="12">
        <f t="shared" si="6"/>
        <v>0</v>
      </c>
      <c r="Q48" s="12">
        <f t="shared" si="51"/>
        <v>0</v>
      </c>
      <c r="R48" s="12">
        <f t="shared" si="59"/>
        <v>73010.634726879609</v>
      </c>
      <c r="S48" s="34">
        <f t="shared" si="17"/>
        <v>75200.953768685999</v>
      </c>
      <c r="T48" s="12">
        <f t="shared" si="7"/>
        <v>0</v>
      </c>
      <c r="U48" s="12">
        <f t="shared" si="52"/>
        <v>0</v>
      </c>
      <c r="V48" s="7">
        <f t="shared" si="19"/>
        <v>75200.953768685999</v>
      </c>
      <c r="W48" s="34">
        <f t="shared" si="53"/>
        <v>77456.98238174658</v>
      </c>
      <c r="X48" s="12">
        <f t="shared" si="54"/>
        <v>0</v>
      </c>
      <c r="Y48" s="12">
        <f t="shared" si="55"/>
        <v>0</v>
      </c>
      <c r="Z48" s="8">
        <f t="shared" si="56"/>
        <v>77456.98238174658</v>
      </c>
      <c r="AC48" s="145">
        <v>62657.204013267597</v>
      </c>
      <c r="AI48" s="414" t="s">
        <v>101</v>
      </c>
      <c r="AJ48" s="403">
        <v>4</v>
      </c>
      <c r="AK48" s="415">
        <v>66815.073414384024</v>
      </c>
    </row>
    <row r="49" spans="1:37" ht="17.25" customHeight="1" x14ac:dyDescent="0.25">
      <c r="A49" s="24" t="s">
        <v>188</v>
      </c>
      <c r="B49" s="2"/>
      <c r="C49" s="156"/>
      <c r="D49" s="12"/>
      <c r="E49" s="12"/>
      <c r="F49" s="13"/>
      <c r="G49" s="39">
        <f t="shared" si="23"/>
        <v>0</v>
      </c>
      <c r="H49" s="12"/>
      <c r="I49" s="12"/>
      <c r="J49" s="13"/>
      <c r="K49" s="34">
        <f>G48*J5</f>
        <v>70884.111385320008</v>
      </c>
      <c r="L49" s="12">
        <f t="shared" si="5"/>
        <v>0</v>
      </c>
      <c r="M49" s="12">
        <f t="shared" si="50"/>
        <v>0</v>
      </c>
      <c r="N49" s="12">
        <f t="shared" si="58"/>
        <v>70884.111385320008</v>
      </c>
      <c r="O49" s="34">
        <f t="shared" si="14"/>
        <v>73010.634726879609</v>
      </c>
      <c r="P49" s="12">
        <f t="shared" si="6"/>
        <v>0</v>
      </c>
      <c r="Q49" s="12">
        <f t="shared" si="51"/>
        <v>0</v>
      </c>
      <c r="R49" s="12">
        <f t="shared" si="59"/>
        <v>73010.634726879609</v>
      </c>
      <c r="S49" s="34">
        <f t="shared" si="17"/>
        <v>75200.953768685999</v>
      </c>
      <c r="T49" s="12">
        <f t="shared" si="7"/>
        <v>0</v>
      </c>
      <c r="U49" s="12">
        <f t="shared" si="52"/>
        <v>0</v>
      </c>
      <c r="V49" s="7">
        <f t="shared" si="19"/>
        <v>75200.953768685999</v>
      </c>
      <c r="W49" s="34">
        <f t="shared" si="53"/>
        <v>77456.98238174658</v>
      </c>
      <c r="X49" s="12">
        <f t="shared" si="54"/>
        <v>0</v>
      </c>
      <c r="Y49" s="12">
        <f t="shared" si="55"/>
        <v>0</v>
      </c>
      <c r="Z49" s="8">
        <f t="shared" si="56"/>
        <v>77456.98238174658</v>
      </c>
      <c r="AC49" s="149"/>
      <c r="AI49" s="414" t="s">
        <v>188</v>
      </c>
      <c r="AJ49" s="403"/>
      <c r="AK49" s="421">
        <v>0</v>
      </c>
    </row>
    <row r="50" spans="1:37" ht="17.25" customHeight="1" x14ac:dyDescent="0.25">
      <c r="A50" s="24" t="s">
        <v>188</v>
      </c>
      <c r="B50" s="2"/>
      <c r="C50" s="156"/>
      <c r="D50" s="12"/>
      <c r="E50" s="12"/>
      <c r="F50" s="13"/>
      <c r="G50" s="39">
        <f t="shared" si="23"/>
        <v>0</v>
      </c>
      <c r="H50" s="12"/>
      <c r="I50" s="12"/>
      <c r="J50" s="13"/>
      <c r="K50" s="34"/>
      <c r="L50" s="12"/>
      <c r="M50" s="12"/>
      <c r="N50" s="12"/>
      <c r="O50" s="34">
        <f>K49*J5</f>
        <v>73010.634726879609</v>
      </c>
      <c r="P50" s="12">
        <f t="shared" si="6"/>
        <v>0</v>
      </c>
      <c r="Q50" s="12">
        <f t="shared" si="51"/>
        <v>0</v>
      </c>
      <c r="R50" s="12">
        <f t="shared" si="59"/>
        <v>73010.634726879609</v>
      </c>
      <c r="S50" s="34">
        <f t="shared" si="17"/>
        <v>75200.953768685999</v>
      </c>
      <c r="T50" s="12">
        <f t="shared" si="7"/>
        <v>0</v>
      </c>
      <c r="U50" s="12">
        <f t="shared" si="52"/>
        <v>0</v>
      </c>
      <c r="V50" s="7">
        <f t="shared" si="19"/>
        <v>75200.953768685999</v>
      </c>
      <c r="W50" s="34">
        <f t="shared" si="53"/>
        <v>77456.98238174658</v>
      </c>
      <c r="X50" s="12">
        <f t="shared" si="54"/>
        <v>0</v>
      </c>
      <c r="Y50" s="12">
        <f t="shared" si="55"/>
        <v>0</v>
      </c>
      <c r="Z50" s="8">
        <f t="shared" si="56"/>
        <v>77456.98238174658</v>
      </c>
      <c r="AC50" s="149"/>
      <c r="AI50" s="414" t="s">
        <v>188</v>
      </c>
      <c r="AJ50" s="403"/>
      <c r="AK50" s="421">
        <v>0</v>
      </c>
    </row>
    <row r="51" spans="1:37" ht="17.25" customHeight="1" x14ac:dyDescent="0.25">
      <c r="A51" s="24" t="s">
        <v>188</v>
      </c>
      <c r="B51" s="2"/>
      <c r="C51" s="156"/>
      <c r="D51" s="12"/>
      <c r="E51" s="12"/>
      <c r="F51" s="13"/>
      <c r="G51" s="39">
        <f t="shared" si="23"/>
        <v>0</v>
      </c>
      <c r="H51" s="12"/>
      <c r="I51" s="12"/>
      <c r="J51" s="13"/>
      <c r="K51" s="34"/>
      <c r="L51" s="12"/>
      <c r="M51" s="12"/>
      <c r="N51" s="12"/>
      <c r="O51" s="34"/>
      <c r="P51" s="12"/>
      <c r="Q51" s="12"/>
      <c r="R51" s="12"/>
      <c r="S51" s="34">
        <f>O50*J5</f>
        <v>75200.953768685999</v>
      </c>
      <c r="T51" s="12">
        <f t="shared" si="7"/>
        <v>0</v>
      </c>
      <c r="U51" s="12">
        <f t="shared" si="52"/>
        <v>0</v>
      </c>
      <c r="V51" s="7">
        <f t="shared" si="19"/>
        <v>75200.953768685999</v>
      </c>
      <c r="W51" s="34">
        <f>S50*J5</f>
        <v>77456.98238174658</v>
      </c>
      <c r="X51" s="12">
        <f t="shared" si="54"/>
        <v>0</v>
      </c>
      <c r="Y51" s="12">
        <f t="shared" si="55"/>
        <v>0</v>
      </c>
      <c r="Z51" s="8">
        <f t="shared" si="56"/>
        <v>77456.98238174658</v>
      </c>
      <c r="AC51" s="149"/>
      <c r="AI51" s="414" t="s">
        <v>188</v>
      </c>
      <c r="AJ51" s="403"/>
      <c r="AK51" s="421">
        <v>0</v>
      </c>
    </row>
    <row r="52" spans="1:37" ht="17.25" customHeight="1" thickBot="1" x14ac:dyDescent="0.3">
      <c r="A52" s="25" t="s">
        <v>188</v>
      </c>
      <c r="B52" s="9"/>
      <c r="C52" s="157"/>
      <c r="D52" s="14"/>
      <c r="E52" s="14"/>
      <c r="F52" s="15"/>
      <c r="G52" s="40">
        <f t="shared" si="23"/>
        <v>0</v>
      </c>
      <c r="H52" s="14"/>
      <c r="I52" s="14"/>
      <c r="J52" s="15"/>
      <c r="K52" s="35"/>
      <c r="L52" s="14"/>
      <c r="M52" s="14"/>
      <c r="N52" s="14"/>
      <c r="O52" s="35"/>
      <c r="P52" s="14"/>
      <c r="Q52" s="14"/>
      <c r="R52" s="14"/>
      <c r="S52" s="35"/>
      <c r="T52" s="14"/>
      <c r="U52" s="14"/>
      <c r="V52" s="10"/>
      <c r="W52" s="35">
        <f>S51*J5</f>
        <v>77456.98238174658</v>
      </c>
      <c r="X52" s="14">
        <f t="shared" si="54"/>
        <v>0</v>
      </c>
      <c r="Y52" s="14">
        <f t="shared" si="55"/>
        <v>0</v>
      </c>
      <c r="Z52" s="11">
        <f t="shared" si="56"/>
        <v>77456.98238174658</v>
      </c>
      <c r="AC52" s="150"/>
      <c r="AI52" s="418" t="s">
        <v>188</v>
      </c>
      <c r="AJ52" s="419"/>
      <c r="AK52" s="422">
        <v>0</v>
      </c>
    </row>
    <row r="53" spans="1:37" x14ac:dyDescent="0.25">
      <c r="A53" s="26" t="s">
        <v>102</v>
      </c>
      <c r="B53" s="27">
        <v>1</v>
      </c>
      <c r="C53" s="81">
        <v>69946.958799324275</v>
      </c>
      <c r="D53" s="41">
        <f>C53*$J$2</f>
        <v>0</v>
      </c>
      <c r="E53" s="41">
        <f>C53*$J$4</f>
        <v>0</v>
      </c>
      <c r="F53" s="42">
        <f>SUM(C53:E53)</f>
        <v>69946.958799324275</v>
      </c>
      <c r="G53" s="37">
        <f>AK53*1.03</f>
        <v>76826.226109437295</v>
      </c>
      <c r="H53" s="41">
        <f t="shared" si="4"/>
        <v>0</v>
      </c>
      <c r="I53" s="41">
        <f t="shared" si="49"/>
        <v>0</v>
      </c>
      <c r="J53" s="42">
        <f>SUM(G53:I53)</f>
        <v>76826.226109437295</v>
      </c>
      <c r="K53" s="37">
        <f t="shared" si="11"/>
        <v>79131.01289272042</v>
      </c>
      <c r="L53" s="41">
        <f t="shared" si="5"/>
        <v>0</v>
      </c>
      <c r="M53" s="41">
        <f t="shared" si="50"/>
        <v>0</v>
      </c>
      <c r="N53" s="41">
        <f>SUM(K53:M53)</f>
        <v>79131.01289272042</v>
      </c>
      <c r="O53" s="37">
        <f t="shared" si="14"/>
        <v>81504.94327950204</v>
      </c>
      <c r="P53" s="41">
        <f t="shared" si="6"/>
        <v>0</v>
      </c>
      <c r="Q53" s="41">
        <f t="shared" si="51"/>
        <v>0</v>
      </c>
      <c r="R53" s="41">
        <f>SUM(O53:Q53)</f>
        <v>81504.94327950204</v>
      </c>
      <c r="S53" s="37">
        <f t="shared" si="17"/>
        <v>83950.091577887099</v>
      </c>
      <c r="T53" s="41">
        <f t="shared" si="7"/>
        <v>0</v>
      </c>
      <c r="U53" s="41">
        <f t="shared" si="52"/>
        <v>0</v>
      </c>
      <c r="V53" s="28">
        <f t="shared" si="19"/>
        <v>83950.091577887099</v>
      </c>
      <c r="W53" s="37">
        <f t="shared" ref="W53:W58" si="60">S53*$J$5</f>
        <v>86468.594325223719</v>
      </c>
      <c r="X53" s="41">
        <f t="shared" ref="X53:X60" si="61">W53*$J$2</f>
        <v>0</v>
      </c>
      <c r="Y53" s="41">
        <f t="shared" ref="Y53:Y60" si="62">W53*$J$4</f>
        <v>0</v>
      </c>
      <c r="Z53" s="29">
        <f t="shared" ref="Z53:Z60" si="63">SUM(W53:Y53)</f>
        <v>86468.594325223719</v>
      </c>
      <c r="AC53" s="144">
        <v>69946.958799324275</v>
      </c>
      <c r="AI53" s="411" t="s">
        <v>102</v>
      </c>
      <c r="AJ53" s="412">
        <v>1</v>
      </c>
      <c r="AK53" s="413">
        <v>74588.569038288639</v>
      </c>
    </row>
    <row r="54" spans="1:37" x14ac:dyDescent="0.25">
      <c r="A54" s="24" t="s">
        <v>103</v>
      </c>
      <c r="B54" s="2">
        <v>2</v>
      </c>
      <c r="C54" s="78">
        <v>71987.828349632851</v>
      </c>
      <c r="D54" s="12">
        <f>C54*$J$2</f>
        <v>0</v>
      </c>
      <c r="E54" s="12">
        <f>C54*$J$4</f>
        <v>0</v>
      </c>
      <c r="F54" s="13">
        <f>SUM(C54:E54)</f>
        <v>71987.828349632851</v>
      </c>
      <c r="G54" s="78">
        <f>AK54*1.03</f>
        <v>79067.814710618724</v>
      </c>
      <c r="H54" s="12">
        <f t="shared" si="4"/>
        <v>0</v>
      </c>
      <c r="I54" s="12">
        <f t="shared" si="49"/>
        <v>0</v>
      </c>
      <c r="J54" s="13">
        <f t="shared" ref="J54:J56" si="64">SUM(G54:I54)</f>
        <v>79067.814710618724</v>
      </c>
      <c r="K54" s="34">
        <f t="shared" si="11"/>
        <v>81439.849151937291</v>
      </c>
      <c r="L54" s="12">
        <f t="shared" si="5"/>
        <v>0</v>
      </c>
      <c r="M54" s="12">
        <f t="shared" si="50"/>
        <v>0</v>
      </c>
      <c r="N54" s="12">
        <f t="shared" ref="N54:N57" si="65">SUM(K54:M54)</f>
        <v>81439.849151937291</v>
      </c>
      <c r="O54" s="34">
        <f t="shared" si="14"/>
        <v>83883.044626495408</v>
      </c>
      <c r="P54" s="12">
        <f t="shared" si="6"/>
        <v>0</v>
      </c>
      <c r="Q54" s="12">
        <f t="shared" si="51"/>
        <v>0</v>
      </c>
      <c r="R54" s="12">
        <f t="shared" ref="R54:R58" si="66">SUM(O54:Q54)</f>
        <v>83883.044626495408</v>
      </c>
      <c r="S54" s="34">
        <f t="shared" si="17"/>
        <v>86399.53596529027</v>
      </c>
      <c r="T54" s="12">
        <f t="shared" si="7"/>
        <v>0</v>
      </c>
      <c r="U54" s="12">
        <f t="shared" si="52"/>
        <v>0</v>
      </c>
      <c r="V54" s="7">
        <f t="shared" si="19"/>
        <v>86399.53596529027</v>
      </c>
      <c r="W54" s="34">
        <f t="shared" si="60"/>
        <v>88991.522044248981</v>
      </c>
      <c r="X54" s="12">
        <f t="shared" si="61"/>
        <v>0</v>
      </c>
      <c r="Y54" s="12">
        <f t="shared" si="62"/>
        <v>0</v>
      </c>
      <c r="Z54" s="8">
        <f t="shared" si="63"/>
        <v>88991.522044248981</v>
      </c>
      <c r="AC54" s="145">
        <v>71987.828349632851</v>
      </c>
      <c r="AI54" s="414" t="s">
        <v>103</v>
      </c>
      <c r="AJ54" s="403">
        <v>2</v>
      </c>
      <c r="AK54" s="415">
        <v>76764.868651086144</v>
      </c>
    </row>
    <row r="55" spans="1:37" x14ac:dyDescent="0.25">
      <c r="A55" s="24" t="s">
        <v>104</v>
      </c>
      <c r="B55" s="2">
        <v>3</v>
      </c>
      <c r="C55" s="78">
        <v>72957.541353494031</v>
      </c>
      <c r="D55" s="12">
        <f>C55*$J$2</f>
        <v>0</v>
      </c>
      <c r="E55" s="12">
        <f>C55*$J$4</f>
        <v>0</v>
      </c>
      <c r="F55" s="13">
        <f>SUM(C55:E55)</f>
        <v>72957.541353494031</v>
      </c>
      <c r="G55" s="78">
        <f>AK55*1.03</f>
        <v>80132.898765375634</v>
      </c>
      <c r="H55" s="12">
        <f t="shared" si="4"/>
        <v>0</v>
      </c>
      <c r="I55" s="12">
        <f t="shared" si="49"/>
        <v>0</v>
      </c>
      <c r="J55" s="13">
        <f t="shared" si="64"/>
        <v>80132.898765375634</v>
      </c>
      <c r="K55" s="34">
        <f t="shared" si="11"/>
        <v>82536.8857283369</v>
      </c>
      <c r="L55" s="12">
        <f t="shared" si="5"/>
        <v>0</v>
      </c>
      <c r="M55" s="12">
        <f t="shared" si="50"/>
        <v>0</v>
      </c>
      <c r="N55" s="12">
        <f t="shared" si="65"/>
        <v>82536.8857283369</v>
      </c>
      <c r="O55" s="34">
        <f t="shared" si="14"/>
        <v>85012.992300187005</v>
      </c>
      <c r="P55" s="12">
        <f t="shared" si="6"/>
        <v>0</v>
      </c>
      <c r="Q55" s="12">
        <f t="shared" si="51"/>
        <v>0</v>
      </c>
      <c r="R55" s="12">
        <f t="shared" si="66"/>
        <v>85012.992300187005</v>
      </c>
      <c r="S55" s="34">
        <f t="shared" si="17"/>
        <v>87563.382069192623</v>
      </c>
      <c r="T55" s="12">
        <f t="shared" si="7"/>
        <v>0</v>
      </c>
      <c r="U55" s="12">
        <f t="shared" si="52"/>
        <v>0</v>
      </c>
      <c r="V55" s="7">
        <f t="shared" si="19"/>
        <v>87563.382069192623</v>
      </c>
      <c r="W55" s="34">
        <f t="shared" si="60"/>
        <v>90190.283531268404</v>
      </c>
      <c r="X55" s="12">
        <f t="shared" si="61"/>
        <v>0</v>
      </c>
      <c r="Y55" s="12">
        <f t="shared" si="62"/>
        <v>0</v>
      </c>
      <c r="Z55" s="8">
        <f t="shared" si="63"/>
        <v>90190.283531268404</v>
      </c>
      <c r="AC55" s="145">
        <v>72957.541353494031</v>
      </c>
      <c r="AI55" s="414" t="s">
        <v>104</v>
      </c>
      <c r="AJ55" s="403">
        <v>3</v>
      </c>
      <c r="AK55" s="415">
        <v>77798.93084017052</v>
      </c>
    </row>
    <row r="56" spans="1:37" x14ac:dyDescent="0.25">
      <c r="A56" s="24" t="s">
        <v>105</v>
      </c>
      <c r="B56" s="2">
        <v>4</v>
      </c>
      <c r="C56" s="78">
        <v>75064.949141412842</v>
      </c>
      <c r="D56" s="12">
        <f>C56*$J$2</f>
        <v>0</v>
      </c>
      <c r="E56" s="12">
        <f>C56*$J$4</f>
        <v>0</v>
      </c>
      <c r="F56" s="13">
        <f>SUM(C56:E56)</f>
        <v>75064.949141412842</v>
      </c>
      <c r="G56" s="78">
        <f>AK56*1.03</f>
        <v>82447.569624532494</v>
      </c>
      <c r="H56" s="12">
        <f t="shared" si="4"/>
        <v>0</v>
      </c>
      <c r="I56" s="12">
        <f t="shared" si="49"/>
        <v>0</v>
      </c>
      <c r="J56" s="13">
        <f t="shared" si="64"/>
        <v>82447.569624532494</v>
      </c>
      <c r="K56" s="34">
        <f t="shared" si="11"/>
        <v>84920.996713268469</v>
      </c>
      <c r="L56" s="12">
        <f t="shared" si="5"/>
        <v>0</v>
      </c>
      <c r="M56" s="12">
        <f t="shared" si="50"/>
        <v>0</v>
      </c>
      <c r="N56" s="12">
        <f t="shared" si="65"/>
        <v>84920.996713268469</v>
      </c>
      <c r="O56" s="34">
        <f t="shared" si="14"/>
        <v>87468.626614666529</v>
      </c>
      <c r="P56" s="12">
        <f t="shared" si="6"/>
        <v>0</v>
      </c>
      <c r="Q56" s="12">
        <f t="shared" si="51"/>
        <v>0</v>
      </c>
      <c r="R56" s="12">
        <f t="shared" si="66"/>
        <v>87468.626614666529</v>
      </c>
      <c r="S56" s="34">
        <f t="shared" si="17"/>
        <v>90092.685413106534</v>
      </c>
      <c r="T56" s="12">
        <f t="shared" si="7"/>
        <v>0</v>
      </c>
      <c r="U56" s="12">
        <f t="shared" si="52"/>
        <v>0</v>
      </c>
      <c r="V56" s="7">
        <f t="shared" si="19"/>
        <v>90092.685413106534</v>
      </c>
      <c r="W56" s="34">
        <f t="shared" si="60"/>
        <v>92795.465975499726</v>
      </c>
      <c r="X56" s="12">
        <f t="shared" si="61"/>
        <v>0</v>
      </c>
      <c r="Y56" s="12">
        <f t="shared" si="62"/>
        <v>0</v>
      </c>
      <c r="Z56" s="8">
        <f t="shared" si="63"/>
        <v>92795.465975499726</v>
      </c>
      <c r="AC56" s="145">
        <v>75064.949141412842</v>
      </c>
      <c r="AI56" s="414" t="s">
        <v>105</v>
      </c>
      <c r="AJ56" s="403">
        <v>4</v>
      </c>
      <c r="AK56" s="415">
        <v>80046.184101487859</v>
      </c>
    </row>
    <row r="57" spans="1:37" ht="15.75" thickBot="1" x14ac:dyDescent="0.3">
      <c r="A57" s="24" t="s">
        <v>189</v>
      </c>
      <c r="C57" s="158"/>
      <c r="D57" s="62"/>
      <c r="E57" s="62"/>
      <c r="F57" s="65"/>
      <c r="G57" s="80">
        <f t="shared" si="23"/>
        <v>0</v>
      </c>
      <c r="H57" s="62"/>
      <c r="I57" s="62"/>
      <c r="J57" s="65"/>
      <c r="K57" s="35">
        <f>G56*J5</f>
        <v>84920.996713268469</v>
      </c>
      <c r="L57" s="69">
        <f t="shared" si="5"/>
        <v>0</v>
      </c>
      <c r="M57" s="69">
        <f t="shared" si="50"/>
        <v>0</v>
      </c>
      <c r="N57" s="69">
        <f t="shared" si="65"/>
        <v>84920.996713268469</v>
      </c>
      <c r="O57" s="34">
        <f t="shared" si="14"/>
        <v>87468.626614666529</v>
      </c>
      <c r="P57" s="68">
        <f t="shared" si="6"/>
        <v>0</v>
      </c>
      <c r="Q57" s="68">
        <f t="shared" si="51"/>
        <v>0</v>
      </c>
      <c r="R57" s="68">
        <f t="shared" si="66"/>
        <v>87468.626614666529</v>
      </c>
      <c r="S57" s="34">
        <f t="shared" si="17"/>
        <v>90092.685413106534</v>
      </c>
      <c r="T57" s="68">
        <f t="shared" si="7"/>
        <v>0</v>
      </c>
      <c r="U57" s="68">
        <f t="shared" si="52"/>
        <v>0</v>
      </c>
      <c r="V57" s="7">
        <f t="shared" si="19"/>
        <v>90092.685413106534</v>
      </c>
      <c r="W57" s="34">
        <f t="shared" si="60"/>
        <v>92795.465975499726</v>
      </c>
      <c r="X57" s="68">
        <f t="shared" si="61"/>
        <v>0</v>
      </c>
      <c r="Y57" s="68">
        <f t="shared" si="62"/>
        <v>0</v>
      </c>
      <c r="Z57" s="8">
        <f t="shared" si="63"/>
        <v>92795.465975499726</v>
      </c>
      <c r="AC57" s="151"/>
      <c r="AI57" s="414" t="s">
        <v>189</v>
      </c>
      <c r="AK57" s="423">
        <v>0</v>
      </c>
    </row>
    <row r="58" spans="1:37" ht="15.75" thickBot="1" x14ac:dyDescent="0.3">
      <c r="A58" s="55"/>
      <c r="G58" s="2">
        <f t="shared" si="23"/>
        <v>0</v>
      </c>
      <c r="O58" s="35">
        <f>K57*J5</f>
        <v>87468.626614666529</v>
      </c>
      <c r="P58" s="69">
        <f t="shared" si="6"/>
        <v>0</v>
      </c>
      <c r="Q58" s="69">
        <f t="shared" si="51"/>
        <v>0</v>
      </c>
      <c r="R58" s="69">
        <f t="shared" si="66"/>
        <v>87468.626614666529</v>
      </c>
      <c r="S58" s="34">
        <f t="shared" si="17"/>
        <v>90092.685413106534</v>
      </c>
      <c r="T58" s="68">
        <f t="shared" si="7"/>
        <v>0</v>
      </c>
      <c r="U58" s="68">
        <f t="shared" si="52"/>
        <v>0</v>
      </c>
      <c r="V58" s="7">
        <f t="shared" si="19"/>
        <v>90092.685413106534</v>
      </c>
      <c r="W58" s="34">
        <f t="shared" si="60"/>
        <v>92795.465975499726</v>
      </c>
      <c r="X58" s="68">
        <f t="shared" si="61"/>
        <v>0</v>
      </c>
      <c r="Y58" s="68">
        <f t="shared" si="62"/>
        <v>0</v>
      </c>
      <c r="Z58" s="8">
        <f t="shared" si="63"/>
        <v>92795.465975499726</v>
      </c>
      <c r="AI58" s="424"/>
      <c r="AK58" s="403">
        <v>0</v>
      </c>
    </row>
    <row r="59" spans="1:37" ht="15.75" thickBot="1" x14ac:dyDescent="0.3">
      <c r="A59" s="55"/>
      <c r="G59" s="2">
        <f t="shared" si="23"/>
        <v>0</v>
      </c>
      <c r="S59" s="35">
        <f>O58*J5</f>
        <v>90092.685413106534</v>
      </c>
      <c r="T59" s="69">
        <f t="shared" si="7"/>
        <v>0</v>
      </c>
      <c r="U59" s="69">
        <f t="shared" si="52"/>
        <v>0</v>
      </c>
      <c r="V59" s="10">
        <f t="shared" si="19"/>
        <v>90092.685413106534</v>
      </c>
      <c r="W59" s="34">
        <f>S58*J5</f>
        <v>92795.465975499726</v>
      </c>
      <c r="X59" s="68">
        <f t="shared" si="61"/>
        <v>0</v>
      </c>
      <c r="Y59" s="68">
        <f t="shared" si="62"/>
        <v>0</v>
      </c>
      <c r="Z59" s="8">
        <f t="shared" si="63"/>
        <v>92795.465975499726</v>
      </c>
      <c r="AI59" s="424"/>
      <c r="AK59" s="403">
        <v>0</v>
      </c>
    </row>
    <row r="60" spans="1:37" ht="15.75" thickBot="1" x14ac:dyDescent="0.3">
      <c r="A60" s="67"/>
      <c r="B60" s="62"/>
      <c r="C60" s="159"/>
      <c r="D60" s="62"/>
      <c r="E60" s="62"/>
      <c r="F60" s="62"/>
      <c r="G60" s="9">
        <f t="shared" si="23"/>
        <v>0</v>
      </c>
      <c r="H60" s="62"/>
      <c r="I60" s="62"/>
      <c r="J60" s="62"/>
      <c r="K60" s="62"/>
      <c r="L60" s="62"/>
      <c r="M60" s="62"/>
      <c r="N60" s="62"/>
      <c r="O60" s="62"/>
      <c r="P60" s="62"/>
      <c r="Q60" s="62"/>
      <c r="R60" s="62"/>
      <c r="S60" s="62"/>
      <c r="T60" s="62"/>
      <c r="U60" s="62"/>
      <c r="V60" s="62"/>
      <c r="W60" s="35">
        <f>S58*J5</f>
        <v>92795.465975499726</v>
      </c>
      <c r="X60" s="69">
        <f t="shared" si="61"/>
        <v>0</v>
      </c>
      <c r="Y60" s="69">
        <f t="shared" si="62"/>
        <v>0</v>
      </c>
      <c r="Z60" s="11">
        <f t="shared" si="63"/>
        <v>92795.465975499726</v>
      </c>
      <c r="AC60" s="152"/>
      <c r="AI60" s="425"/>
      <c r="AJ60" s="426"/>
      <c r="AK60" s="419">
        <v>0</v>
      </c>
    </row>
  </sheetData>
  <mergeCells count="7">
    <mergeCell ref="C7:F7"/>
    <mergeCell ref="W7:Z7"/>
    <mergeCell ref="S7:V7"/>
    <mergeCell ref="I1:J1"/>
    <mergeCell ref="G7:J7"/>
    <mergeCell ref="K7:N7"/>
    <mergeCell ref="O7:R7"/>
  </mergeCells>
  <pageMargins left="0.7" right="0.7" top="0.75" bottom="0.75" header="0.3" footer="0.3"/>
  <pageSetup paperSize="9" orientation="portrait" horizontalDpi="4294967293"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667A-DD23-435B-A13B-14CD43F2CEDE}">
  <sheetPr>
    <tabColor rgb="FF00B050"/>
    <pageSetUpPr fitToPage="1"/>
  </sheetPr>
  <dimension ref="A1:AL90"/>
  <sheetViews>
    <sheetView view="pageBreakPreview" topLeftCell="B34" zoomScaleNormal="100" zoomScaleSheetLayoutView="100" workbookViewId="0">
      <selection activeCell="H44" sqref="H44"/>
    </sheetView>
  </sheetViews>
  <sheetFormatPr defaultRowHeight="15" x14ac:dyDescent="0.25"/>
  <cols>
    <col min="1" max="1" width="25" customWidth="1"/>
    <col min="2" max="2" width="20.140625" customWidth="1"/>
    <col min="3" max="3" width="63.42578125" customWidth="1"/>
    <col min="4" max="7" width="14" bestFit="1" customWidth="1"/>
    <col min="8" max="8" width="14" customWidth="1"/>
    <col min="9" max="9" width="12.42578125" bestFit="1" customWidth="1"/>
    <col min="10" max="10" width="0" hidden="1" customWidth="1"/>
    <col min="11" max="11" width="18.5703125" hidden="1" customWidth="1"/>
    <col min="12" max="12" width="9.140625" hidden="1" customWidth="1"/>
    <col min="13" max="15" width="0" hidden="1" customWidth="1"/>
    <col min="16" max="16" width="12.7109375" style="257" hidden="1" customWidth="1"/>
    <col min="17" max="17" width="20.5703125" style="257" hidden="1" customWidth="1"/>
    <col min="18" max="18" width="1.7109375" hidden="1" customWidth="1"/>
    <col min="19" max="19" width="11.42578125" hidden="1" customWidth="1"/>
    <col min="20" max="20" width="20.5703125" hidden="1" customWidth="1"/>
    <col min="21" max="21" width="4.85546875" hidden="1" customWidth="1"/>
    <col min="22" max="22" width="11.42578125" hidden="1" customWidth="1"/>
    <col min="23" max="23" width="20.5703125" hidden="1" customWidth="1"/>
    <col min="24" max="24" width="3.7109375" hidden="1" customWidth="1"/>
    <col min="25" max="25" width="11.42578125" hidden="1" customWidth="1"/>
    <col min="26" max="26" width="20.5703125" hidden="1" customWidth="1"/>
    <col min="27" max="27" width="3.28515625" hidden="1" customWidth="1"/>
    <col min="28" max="28" width="11.42578125" hidden="1" customWidth="1"/>
    <col min="29" max="29" width="20.5703125" hidden="1" customWidth="1"/>
    <col min="30" max="30" width="0" hidden="1" customWidth="1"/>
    <col min="31" max="31" width="11.42578125" hidden="1" customWidth="1"/>
    <col min="32" max="32" width="20.5703125" hidden="1" customWidth="1"/>
    <col min="33" max="35" width="0" hidden="1" customWidth="1"/>
  </cols>
  <sheetData>
    <row r="1" spans="1:38" ht="18.75" x14ac:dyDescent="0.3">
      <c r="A1" s="109" t="s">
        <v>378</v>
      </c>
      <c r="B1" s="109"/>
      <c r="C1" s="106"/>
      <c r="D1" s="108"/>
      <c r="E1" s="106"/>
      <c r="F1" s="106"/>
      <c r="G1" s="106"/>
      <c r="H1" s="106"/>
      <c r="I1" s="106"/>
      <c r="K1" s="85" t="s">
        <v>193</v>
      </c>
      <c r="L1" s="85">
        <v>12</v>
      </c>
      <c r="M1" s="1"/>
      <c r="N1">
        <v>12</v>
      </c>
      <c r="AK1" t="s">
        <v>526</v>
      </c>
      <c r="AL1" s="341">
        <v>0.1105</v>
      </c>
    </row>
    <row r="2" spans="1:38" ht="18.75" x14ac:dyDescent="0.3">
      <c r="A2" s="110" t="s">
        <v>261</v>
      </c>
      <c r="B2" s="110"/>
      <c r="C2" s="106"/>
      <c r="D2" s="108"/>
      <c r="E2" s="106"/>
      <c r="F2" s="106"/>
      <c r="G2" s="106"/>
      <c r="H2" s="106"/>
      <c r="I2" s="106"/>
      <c r="K2" s="85"/>
      <c r="L2" s="85"/>
      <c r="M2" s="1"/>
      <c r="N2">
        <v>12</v>
      </c>
      <c r="AK2" t="s">
        <v>527</v>
      </c>
      <c r="AL2" s="4">
        <v>0.1</v>
      </c>
    </row>
    <row r="3" spans="1:38" ht="18.75" x14ac:dyDescent="0.3">
      <c r="A3" s="110" t="s">
        <v>372</v>
      </c>
      <c r="B3" s="110"/>
      <c r="C3" s="106"/>
      <c r="D3" s="108"/>
      <c r="E3" s="106"/>
      <c r="F3" s="106"/>
      <c r="G3" s="106"/>
      <c r="H3" s="106"/>
      <c r="I3" s="106"/>
      <c r="K3" s="85"/>
      <c r="L3" s="85"/>
      <c r="M3" s="1"/>
    </row>
    <row r="4" spans="1:38" ht="36" customHeight="1" thickBot="1" x14ac:dyDescent="0.35">
      <c r="A4" s="467" t="s">
        <v>373</v>
      </c>
      <c r="B4" s="467"/>
      <c r="C4" s="467"/>
      <c r="D4" s="108"/>
      <c r="E4" s="106"/>
      <c r="F4" s="106"/>
      <c r="G4" s="106"/>
      <c r="H4" s="106"/>
      <c r="I4" s="106"/>
      <c r="K4" s="85"/>
      <c r="L4" s="85"/>
      <c r="M4" s="1"/>
      <c r="P4" s="283" t="s">
        <v>109</v>
      </c>
      <c r="S4" s="283" t="s">
        <v>110</v>
      </c>
      <c r="T4" s="257"/>
      <c r="V4" s="283" t="s">
        <v>111</v>
      </c>
      <c r="W4" s="257"/>
      <c r="Y4" s="283" t="s">
        <v>112</v>
      </c>
      <c r="Z4" s="257"/>
      <c r="AB4" s="283" t="s">
        <v>194</v>
      </c>
      <c r="AC4" s="257"/>
      <c r="AE4" s="283" t="s">
        <v>12</v>
      </c>
      <c r="AF4" s="257"/>
    </row>
    <row r="5" spans="1:38" ht="18.75" x14ac:dyDescent="0.3">
      <c r="A5" s="210" t="s">
        <v>379</v>
      </c>
      <c r="B5" s="254"/>
      <c r="C5" s="74"/>
      <c r="D5" s="6" t="s">
        <v>109</v>
      </c>
      <c r="E5" s="6" t="s">
        <v>110</v>
      </c>
      <c r="F5" s="6" t="s">
        <v>111</v>
      </c>
      <c r="G5" s="6" t="s">
        <v>112</v>
      </c>
      <c r="H5" s="6" t="s">
        <v>194</v>
      </c>
      <c r="I5" s="59"/>
      <c r="P5" s="258" t="s">
        <v>440</v>
      </c>
      <c r="Q5" s="258" t="s">
        <v>380</v>
      </c>
      <c r="R5" s="253"/>
      <c r="S5" s="258" t="s">
        <v>440</v>
      </c>
      <c r="T5" s="258" t="s">
        <v>380</v>
      </c>
      <c r="V5" s="258" t="s">
        <v>440</v>
      </c>
      <c r="W5" s="258" t="s">
        <v>380</v>
      </c>
      <c r="Y5" s="258" t="s">
        <v>440</v>
      </c>
      <c r="Z5" s="258" t="s">
        <v>380</v>
      </c>
      <c r="AB5" s="258" t="s">
        <v>440</v>
      </c>
      <c r="AC5" s="258" t="s">
        <v>380</v>
      </c>
      <c r="AE5" s="258" t="s">
        <v>440</v>
      </c>
      <c r="AF5" s="258" t="s">
        <v>380</v>
      </c>
    </row>
    <row r="6" spans="1:38" x14ac:dyDescent="0.25">
      <c r="A6" s="55"/>
      <c r="D6" s="101" t="s">
        <v>116</v>
      </c>
      <c r="E6" s="101" t="s">
        <v>117</v>
      </c>
      <c r="F6" s="101" t="s">
        <v>125</v>
      </c>
      <c r="G6" s="101" t="s">
        <v>219</v>
      </c>
      <c r="H6" s="101" t="s">
        <v>351</v>
      </c>
      <c r="I6" s="61" t="s">
        <v>12</v>
      </c>
      <c r="P6" s="259"/>
      <c r="Q6" s="259"/>
      <c r="R6" s="253"/>
      <c r="S6" s="259"/>
      <c r="T6" s="259"/>
      <c r="V6" s="259"/>
      <c r="W6" s="259"/>
      <c r="Y6" s="259"/>
      <c r="Z6" s="259"/>
      <c r="AB6" s="259"/>
      <c r="AC6" s="259"/>
      <c r="AE6" s="259"/>
      <c r="AF6" s="259"/>
    </row>
    <row r="7" spans="1:38" x14ac:dyDescent="0.25">
      <c r="A7" s="60" t="s">
        <v>386</v>
      </c>
      <c r="B7" s="1" t="s">
        <v>442</v>
      </c>
      <c r="C7" s="1" t="s">
        <v>387</v>
      </c>
      <c r="D7" s="3" t="s">
        <v>5</v>
      </c>
      <c r="E7" s="3" t="s">
        <v>5</v>
      </c>
      <c r="F7" s="3" t="s">
        <v>5</v>
      </c>
      <c r="G7" s="3" t="s">
        <v>5</v>
      </c>
      <c r="H7" s="3" t="s">
        <v>5</v>
      </c>
      <c r="I7" s="61" t="s">
        <v>6</v>
      </c>
      <c r="P7" s="259"/>
      <c r="Q7" s="259"/>
      <c r="R7" s="253"/>
      <c r="S7" s="259"/>
      <c r="T7" s="259"/>
      <c r="V7" s="259"/>
      <c r="W7" s="259"/>
      <c r="Y7" s="259"/>
      <c r="Z7" s="259"/>
      <c r="AB7" s="259"/>
      <c r="AC7" s="259"/>
      <c r="AE7" s="259">
        <f>P7+S7+V7+Y7+AB7</f>
        <v>0</v>
      </c>
      <c r="AF7" s="259">
        <f>Q7+T7+W7+Z7+AC7</f>
        <v>0</v>
      </c>
    </row>
    <row r="8" spans="1:38" x14ac:dyDescent="0.25">
      <c r="A8" s="468" t="s">
        <v>380</v>
      </c>
      <c r="B8" s="483" t="str">
        <f>A8</f>
        <v xml:space="preserve">Principal investigator </v>
      </c>
      <c r="C8" s="169" t="s">
        <v>385</v>
      </c>
      <c r="D8" s="54" t="str">
        <f>IFERROR(VLOOKUP(C8,'1B. Academic'!$A$11:$AF$145,6,FALSE)/($N$2)*E38*D38,(" "))</f>
        <v xml:space="preserve"> </v>
      </c>
      <c r="E8" s="54" t="str" cm="1">
        <f t="array" ref="E8">IFERROR(INDEX('1B. Academic'!$A$11:$AF$145,MATCH($C8,'1B. Academic'!$A$11:$A$145,0)+1,10)/($N$2)*F38*D38,(" "))</f>
        <v xml:space="preserve"> </v>
      </c>
      <c r="F8" s="54" t="str" cm="1">
        <f t="array" ref="F8">IFERROR(INDEX('1B. Academic'!$A$11:$AF$145,MATCH($C8,'1B. Academic'!$A$11:$A$145,0)+2,14)/($N$2)*G38*D38,(" "))</f>
        <v xml:space="preserve"> </v>
      </c>
      <c r="G8" s="54" t="str" cm="1">
        <f t="array" ref="G8">IFERROR(INDEX('1B. Academic'!$A$11:$AF$145,MATCH($C8,'1B. Academic'!$A$11:$A$145,0)+3,18)/($N$2)*H38*D38,(" "))</f>
        <v xml:space="preserve"> </v>
      </c>
      <c r="H8" s="54" t="str" cm="1">
        <f t="array" ref="H8">IFERROR(INDEX('1B. Academic'!$A$11:$AF$145,MATCH($C8,'1B. Academic'!$A$11:$A$145,0)+4,22)/($N$2)*I38*D38,(" "))</f>
        <v xml:space="preserve"> </v>
      </c>
      <c r="I8" s="56">
        <f>SUM(D8:H8)</f>
        <v>0</v>
      </c>
      <c r="P8" s="259">
        <f>IF($B8=$P$5,D8,0)</f>
        <v>0</v>
      </c>
      <c r="Q8" s="259" t="str">
        <f>IF($B8=$Q$5,D8,0)</f>
        <v xml:space="preserve"> </v>
      </c>
      <c r="R8" s="253"/>
      <c r="S8" s="259">
        <f>IF($B8=$S$5,E8,0)</f>
        <v>0</v>
      </c>
      <c r="T8" s="259" t="str">
        <f>IF($B8=$T$5,E8,0)</f>
        <v xml:space="preserve"> </v>
      </c>
      <c r="V8" s="259">
        <f>IF($B8=$V$5,F8,0)</f>
        <v>0</v>
      </c>
      <c r="W8" s="259" t="str">
        <f>IF($B8=$W$5,F8,0)</f>
        <v xml:space="preserve"> </v>
      </c>
      <c r="Y8" s="259">
        <f>IF($B8=$Y$5,G8,0)</f>
        <v>0</v>
      </c>
      <c r="Z8" s="259" t="str">
        <f>IF($B8=$Z$5,G8,0)</f>
        <v xml:space="preserve"> </v>
      </c>
      <c r="AB8" s="259">
        <f>IF($B8=$AB$5,H8,0)</f>
        <v>0</v>
      </c>
      <c r="AC8" s="259" t="str">
        <f>IF($B8=$AC$5,H8,0)</f>
        <v xml:space="preserve"> </v>
      </c>
      <c r="AE8" s="259">
        <f t="shared" ref="AE8:AE28" si="0">P8+S8+V8+Y8+AB8</f>
        <v>0</v>
      </c>
      <c r="AF8" s="259" t="e">
        <f t="shared" ref="AF8:AF28" si="1">Q8+T8+W8+Z8+AC8</f>
        <v>#VALUE!</v>
      </c>
    </row>
    <row r="9" spans="1:38" x14ac:dyDescent="0.25">
      <c r="A9" s="469"/>
      <c r="B9" s="484"/>
      <c r="C9" s="340" t="s">
        <v>522</v>
      </c>
      <c r="D9" s="54" t="str">
        <f>IFERROR(D8*$AL$1," ")</f>
        <v xml:space="preserve"> </v>
      </c>
      <c r="E9" s="54" t="str">
        <f t="shared" ref="E9:H9" si="2">IFERROR(E8*$AL$1," ")</f>
        <v xml:space="preserve"> </v>
      </c>
      <c r="F9" s="54" t="str">
        <f t="shared" si="2"/>
        <v xml:space="preserve"> </v>
      </c>
      <c r="G9" s="54" t="str">
        <f t="shared" si="2"/>
        <v xml:space="preserve"> </v>
      </c>
      <c r="H9" s="54" t="str">
        <f t="shared" si="2"/>
        <v xml:space="preserve"> </v>
      </c>
      <c r="I9" s="56">
        <f t="shared" ref="I9:I27" si="3">SUM(D9:H9)</f>
        <v>0</v>
      </c>
      <c r="P9" s="259"/>
      <c r="Q9" s="259"/>
      <c r="R9" s="253"/>
      <c r="S9" s="259"/>
      <c r="T9" s="259"/>
      <c r="V9" s="259"/>
      <c r="W9" s="259"/>
      <c r="Y9" s="259"/>
      <c r="Z9" s="259"/>
      <c r="AB9" s="259"/>
      <c r="AC9" s="259"/>
      <c r="AE9" s="259"/>
      <c r="AF9" s="259"/>
    </row>
    <row r="10" spans="1:38" x14ac:dyDescent="0.25">
      <c r="A10" s="469"/>
      <c r="B10" s="484"/>
      <c r="C10" s="340" t="s">
        <v>525</v>
      </c>
      <c r="D10" s="54" t="str">
        <f>IFERROR(D8*$AL$2, " ")</f>
        <v xml:space="preserve"> </v>
      </c>
      <c r="E10" s="54" t="str">
        <f t="shared" ref="E10:H10" si="4">IFERROR(E8*$AL$2, " ")</f>
        <v xml:space="preserve"> </v>
      </c>
      <c r="F10" s="54" t="str">
        <f t="shared" si="4"/>
        <v xml:space="preserve"> </v>
      </c>
      <c r="G10" s="54" t="str">
        <f t="shared" si="4"/>
        <v xml:space="preserve"> </v>
      </c>
      <c r="H10" s="54" t="str">
        <f t="shared" si="4"/>
        <v xml:space="preserve"> </v>
      </c>
      <c r="I10" s="56">
        <f t="shared" si="3"/>
        <v>0</v>
      </c>
      <c r="P10" s="259"/>
      <c r="Q10" s="259"/>
      <c r="R10" s="253"/>
      <c r="S10" s="259"/>
      <c r="T10" s="259"/>
      <c r="V10" s="259"/>
      <c r="W10" s="259"/>
      <c r="Y10" s="259"/>
      <c r="Z10" s="259"/>
      <c r="AB10" s="259"/>
      <c r="AC10" s="259"/>
      <c r="AE10" s="259"/>
      <c r="AF10" s="259"/>
    </row>
    <row r="11" spans="1:38" ht="15.75" thickBot="1" x14ac:dyDescent="0.3">
      <c r="A11" s="470"/>
      <c r="B11" s="485"/>
      <c r="C11" s="114" t="s">
        <v>524</v>
      </c>
      <c r="D11" s="327">
        <f>IFERROR(SUM(D8:D10), " ")</f>
        <v>0</v>
      </c>
      <c r="E11" s="327">
        <f t="shared" ref="E11:H11" si="5">IFERROR(SUM(E8:E10), " ")</f>
        <v>0</v>
      </c>
      <c r="F11" s="327">
        <f t="shared" si="5"/>
        <v>0</v>
      </c>
      <c r="G11" s="327">
        <f t="shared" si="5"/>
        <v>0</v>
      </c>
      <c r="H11" s="327">
        <f t="shared" si="5"/>
        <v>0</v>
      </c>
      <c r="I11" s="343">
        <f t="shared" si="3"/>
        <v>0</v>
      </c>
      <c r="P11" s="259"/>
      <c r="Q11" s="259"/>
      <c r="R11" s="253"/>
      <c r="S11" s="259"/>
      <c r="T11" s="259"/>
      <c r="V11" s="259"/>
      <c r="W11" s="259"/>
      <c r="Y11" s="259"/>
      <c r="Z11" s="259"/>
      <c r="AB11" s="259"/>
      <c r="AC11" s="259"/>
      <c r="AE11" s="259"/>
      <c r="AF11" s="259"/>
    </row>
    <row r="12" spans="1:38" x14ac:dyDescent="0.25">
      <c r="A12" s="468" t="s">
        <v>381</v>
      </c>
      <c r="B12" s="483" t="s">
        <v>440</v>
      </c>
      <c r="C12" s="169" t="s">
        <v>385</v>
      </c>
      <c r="D12" s="54" t="str">
        <f>IFERROR(VLOOKUP(C12,'1B. Academic'!$A$11:$AF$145,6,FALSE)/($N$2)*E39*D39,(" "))</f>
        <v xml:space="preserve"> </v>
      </c>
      <c r="E12" s="54" t="str" cm="1">
        <f t="array" ref="E12">IFERROR(INDEX('1B. Academic'!$A$11:$AF$145,MATCH($C12,'1B. Academic'!$A$11:$A$145,0)+1,10)/($N$2)*F39*D39,(" "))</f>
        <v xml:space="preserve"> </v>
      </c>
      <c r="F12" s="54" t="str" cm="1">
        <f t="array" ref="F12">IFERROR(INDEX('1B. Academic'!$A$11:$AF$145,MATCH($C12,'1B. Academic'!$A$11:$A$145,0)+2,14)/($N$2)*G39*D39,(" "))</f>
        <v xml:space="preserve"> </v>
      </c>
      <c r="G12" s="54" t="str" cm="1">
        <f t="array" ref="G12">IFERROR(INDEX('1B. Academic'!$A$11:$AF$145,MATCH($C12,'1B. Academic'!$A$11:$A$145,0)+3,18)/($N$2)*H39*D39,(" "))</f>
        <v xml:space="preserve"> </v>
      </c>
      <c r="H12" s="54" t="str" cm="1">
        <f t="array" ref="H12">IFERROR(INDEX('1B. Academic'!$A$11:$AF$145,MATCH($C12,'1B. Academic'!$A$11:$A$145,0)+4,22)/($N$2)*I39*D39,(" "))</f>
        <v xml:space="preserve"> </v>
      </c>
      <c r="I12" s="56">
        <f t="shared" si="3"/>
        <v>0</v>
      </c>
      <c r="P12" s="259" t="str">
        <f t="shared" ref="P12:P24" si="6">IF($B12=$P$5,D12,0)</f>
        <v xml:space="preserve"> </v>
      </c>
      <c r="Q12" s="259">
        <f t="shared" ref="Q12:Q24" si="7">IF($B12=$Q$5,D12,0)</f>
        <v>0</v>
      </c>
      <c r="R12" s="253"/>
      <c r="S12" s="259" t="str">
        <f t="shared" ref="S12:S24" si="8">IF($B12=$S$5,E12,0)</f>
        <v xml:space="preserve"> </v>
      </c>
      <c r="T12" s="259">
        <f t="shared" ref="T12:T24" si="9">IF($B12=$Q$5,G12,0)</f>
        <v>0</v>
      </c>
      <c r="V12" s="259" t="str">
        <f t="shared" ref="V12:V24" si="10">IF($B12=$V$5,F12,0)</f>
        <v xml:space="preserve"> </v>
      </c>
      <c r="W12" s="259">
        <f t="shared" ref="W12:W24" si="11">IF($B12=$W$5,F12,0)</f>
        <v>0</v>
      </c>
      <c r="Y12" s="259" t="str">
        <f t="shared" ref="Y12:Y24" si="12">IF($B12=$Y$5,G12,0)</f>
        <v xml:space="preserve"> </v>
      </c>
      <c r="Z12" s="259">
        <f t="shared" ref="Z12:Z24" si="13">IF($B12=$Z$5,H12,0)</f>
        <v>0</v>
      </c>
      <c r="AB12" s="259" t="str">
        <f t="shared" ref="AB12:AB24" si="14">IF($B12=$AB$5,H12,0)</f>
        <v xml:space="preserve"> </v>
      </c>
      <c r="AC12" s="259">
        <f t="shared" ref="AC12:AC24" si="15">IF($B12=$Z$5,J12,0)</f>
        <v>0</v>
      </c>
      <c r="AE12" s="259" t="e">
        <f t="shared" si="0"/>
        <v>#VALUE!</v>
      </c>
      <c r="AF12" s="259">
        <f t="shared" si="1"/>
        <v>0</v>
      </c>
    </row>
    <row r="13" spans="1:38" x14ac:dyDescent="0.25">
      <c r="A13" s="469"/>
      <c r="B13" s="484"/>
      <c r="C13" s="340" t="s">
        <v>522</v>
      </c>
      <c r="D13" s="54" t="str">
        <f>IFERROR(D12*$AL$1," ")</f>
        <v xml:space="preserve"> </v>
      </c>
      <c r="E13" s="54" t="str">
        <f t="shared" ref="E13" si="16">IFERROR(E12*$AL$1," ")</f>
        <v xml:space="preserve"> </v>
      </c>
      <c r="F13" s="54" t="str">
        <f t="shared" ref="F13" si="17">IFERROR(F12*$AL$1," ")</f>
        <v xml:space="preserve"> </v>
      </c>
      <c r="G13" s="54" t="str">
        <f t="shared" ref="G13" si="18">IFERROR(G12*$AL$1," ")</f>
        <v xml:space="preserve"> </v>
      </c>
      <c r="H13" s="54" t="str">
        <f t="shared" ref="H13" si="19">IFERROR(H12*$AL$1," ")</f>
        <v xml:space="preserve"> </v>
      </c>
      <c r="I13" s="56">
        <f t="shared" si="3"/>
        <v>0</v>
      </c>
      <c r="P13" s="259"/>
      <c r="Q13" s="259"/>
      <c r="R13" s="253"/>
      <c r="S13" s="259"/>
      <c r="T13" s="259"/>
      <c r="V13" s="259"/>
      <c r="W13" s="259"/>
      <c r="Y13" s="259"/>
      <c r="Z13" s="259"/>
      <c r="AB13" s="259"/>
      <c r="AC13" s="259"/>
      <c r="AE13" s="259"/>
      <c r="AF13" s="259"/>
    </row>
    <row r="14" spans="1:38" x14ac:dyDescent="0.25">
      <c r="A14" s="469"/>
      <c r="B14" s="484"/>
      <c r="C14" s="340" t="s">
        <v>525</v>
      </c>
      <c r="D14" s="54" t="str">
        <f>IFERROR(D12*$AL$2, " ")</f>
        <v xml:space="preserve"> </v>
      </c>
      <c r="E14" s="54" t="str">
        <f t="shared" ref="E14:H14" si="20">IFERROR(E12*$AL$2, " ")</f>
        <v xml:space="preserve"> </v>
      </c>
      <c r="F14" s="54" t="str">
        <f t="shared" si="20"/>
        <v xml:space="preserve"> </v>
      </c>
      <c r="G14" s="54" t="str">
        <f t="shared" si="20"/>
        <v xml:space="preserve"> </v>
      </c>
      <c r="H14" s="54" t="str">
        <f t="shared" si="20"/>
        <v xml:space="preserve"> </v>
      </c>
      <c r="I14" s="56">
        <f t="shared" si="3"/>
        <v>0</v>
      </c>
      <c r="P14" s="259"/>
      <c r="Q14" s="259"/>
      <c r="R14" s="253"/>
      <c r="S14" s="259"/>
      <c r="T14" s="259"/>
      <c r="V14" s="259"/>
      <c r="W14" s="259"/>
      <c r="Y14" s="259"/>
      <c r="Z14" s="259"/>
      <c r="AB14" s="259"/>
      <c r="AC14" s="259"/>
      <c r="AE14" s="259"/>
      <c r="AF14" s="259"/>
    </row>
    <row r="15" spans="1:38" ht="15.75" thickBot="1" x14ac:dyDescent="0.3">
      <c r="A15" s="470"/>
      <c r="B15" s="485"/>
      <c r="C15" s="114" t="s">
        <v>524</v>
      </c>
      <c r="D15" s="327">
        <f>IFERROR(SUM(D12:D14), " ")</f>
        <v>0</v>
      </c>
      <c r="E15" s="327">
        <f t="shared" ref="E15" si="21">IFERROR(SUM(E12:E14), " ")</f>
        <v>0</v>
      </c>
      <c r="F15" s="327">
        <f t="shared" ref="F15" si="22">IFERROR(SUM(F12:F14), " ")</f>
        <v>0</v>
      </c>
      <c r="G15" s="327">
        <f t="shared" ref="G15" si="23">IFERROR(SUM(G12:G14), " ")</f>
        <v>0</v>
      </c>
      <c r="H15" s="327">
        <f t="shared" ref="H15" si="24">IFERROR(SUM(H12:H14), " ")</f>
        <v>0</v>
      </c>
      <c r="I15" s="343">
        <f t="shared" si="3"/>
        <v>0</v>
      </c>
      <c r="P15" s="259"/>
      <c r="Q15" s="259"/>
      <c r="R15" s="253"/>
      <c r="S15" s="259"/>
      <c r="T15" s="259"/>
      <c r="V15" s="259"/>
      <c r="W15" s="259"/>
      <c r="Y15" s="259"/>
      <c r="Z15" s="259"/>
      <c r="AB15" s="259"/>
      <c r="AC15" s="259"/>
      <c r="AE15" s="259"/>
      <c r="AF15" s="259"/>
    </row>
    <row r="16" spans="1:38" x14ac:dyDescent="0.25">
      <c r="A16" s="468" t="s">
        <v>382</v>
      </c>
      <c r="B16" s="483" t="s">
        <v>440</v>
      </c>
      <c r="C16" s="169" t="s">
        <v>385</v>
      </c>
      <c r="D16" s="54" t="str">
        <f>IFERROR(VLOOKUP(C16,'1B. Academic'!$A$11:$AF$145,6,FALSE)/($N$2)*E40*D40,(" "))</f>
        <v xml:space="preserve"> </v>
      </c>
      <c r="E16" s="54" t="str" cm="1">
        <f t="array" ref="E16">IFERROR(INDEX('1B. Academic'!$A$11:$AF$145,MATCH($C16,'1B. Academic'!$A$11:$A$145,0)+1,10)/($N$2)*F40*D40,(" "))</f>
        <v xml:space="preserve"> </v>
      </c>
      <c r="F16" s="54" t="str" cm="1">
        <f t="array" ref="F16">IFERROR(INDEX('1B. Academic'!$A$11:$AF$145,MATCH($C16,'1B. Academic'!$A$11:$A$145,0)+2,14)/($N$2)*G40*D40,(" "))</f>
        <v xml:space="preserve"> </v>
      </c>
      <c r="G16" s="54" t="str" cm="1">
        <f t="array" ref="G16">IFERROR(INDEX('1B. Academic'!$A$11:$AF$145,MATCH($C16,'1B. Academic'!$A$11:$A$145,0)+3,18)/($N$2)*H40*D40,(" "))</f>
        <v xml:space="preserve"> </v>
      </c>
      <c r="H16" s="54" t="str" cm="1">
        <f t="array" ref="H16">IFERROR(INDEX('1B. Academic'!$A$11:$AF$145,MATCH($C16,'1B. Academic'!$A$11:$A$145,0)+4,22)/($N$2)*I40*D40,(" "))</f>
        <v xml:space="preserve"> </v>
      </c>
      <c r="I16" s="56">
        <f t="shared" si="3"/>
        <v>0</v>
      </c>
      <c r="P16" s="259" t="str">
        <f t="shared" si="6"/>
        <v xml:space="preserve"> </v>
      </c>
      <c r="Q16" s="259">
        <f t="shared" si="7"/>
        <v>0</v>
      </c>
      <c r="R16" s="253"/>
      <c r="S16" s="259" t="str">
        <f t="shared" si="8"/>
        <v xml:space="preserve"> </v>
      </c>
      <c r="T16" s="259">
        <f t="shared" si="9"/>
        <v>0</v>
      </c>
      <c r="V16" s="259" t="str">
        <f t="shared" si="10"/>
        <v xml:space="preserve"> </v>
      </c>
      <c r="W16" s="259">
        <f t="shared" si="11"/>
        <v>0</v>
      </c>
      <c r="Y16" s="259" t="str">
        <f t="shared" si="12"/>
        <v xml:space="preserve"> </v>
      </c>
      <c r="Z16" s="259">
        <f t="shared" si="13"/>
        <v>0</v>
      </c>
      <c r="AB16" s="259" t="str">
        <f t="shared" si="14"/>
        <v xml:space="preserve"> </v>
      </c>
      <c r="AC16" s="259">
        <f t="shared" si="15"/>
        <v>0</v>
      </c>
      <c r="AE16" s="259" t="e">
        <f t="shared" si="0"/>
        <v>#VALUE!</v>
      </c>
      <c r="AF16" s="259">
        <f t="shared" si="1"/>
        <v>0</v>
      </c>
    </row>
    <row r="17" spans="1:32" x14ac:dyDescent="0.25">
      <c r="A17" s="469"/>
      <c r="B17" s="484"/>
      <c r="C17" s="340" t="s">
        <v>522</v>
      </c>
      <c r="D17" s="54" t="str">
        <f>IFERROR(D16*$AL$1," ")</f>
        <v xml:space="preserve"> </v>
      </c>
      <c r="E17" s="54" t="str">
        <f t="shared" ref="E17" si="25">IFERROR(E16*$AL$1," ")</f>
        <v xml:space="preserve"> </v>
      </c>
      <c r="F17" s="54" t="str">
        <f t="shared" ref="F17" si="26">IFERROR(F16*$AL$1," ")</f>
        <v xml:space="preserve"> </v>
      </c>
      <c r="G17" s="54" t="str">
        <f t="shared" ref="G17" si="27">IFERROR(G16*$AL$1," ")</f>
        <v xml:space="preserve"> </v>
      </c>
      <c r="H17" s="54" t="str">
        <f t="shared" ref="H17" si="28">IFERROR(H16*$AL$1," ")</f>
        <v xml:space="preserve"> </v>
      </c>
      <c r="I17" s="56">
        <f t="shared" si="3"/>
        <v>0</v>
      </c>
      <c r="P17" s="259"/>
      <c r="Q17" s="259"/>
      <c r="R17" s="253"/>
      <c r="S17" s="259"/>
      <c r="T17" s="259"/>
      <c r="V17" s="259"/>
      <c r="W17" s="259"/>
      <c r="Y17" s="259"/>
      <c r="Z17" s="259"/>
      <c r="AB17" s="259"/>
      <c r="AC17" s="259"/>
      <c r="AE17" s="259"/>
      <c r="AF17" s="259"/>
    </row>
    <row r="18" spans="1:32" x14ac:dyDescent="0.25">
      <c r="A18" s="469"/>
      <c r="B18" s="484"/>
      <c r="C18" s="340" t="s">
        <v>525</v>
      </c>
      <c r="D18" s="54" t="str">
        <f>IFERROR(D16*$AL$2, " ")</f>
        <v xml:space="preserve"> </v>
      </c>
      <c r="E18" s="54" t="str">
        <f t="shared" ref="E18:H18" si="29">IFERROR(E16*$AL$2, " ")</f>
        <v xml:space="preserve"> </v>
      </c>
      <c r="F18" s="54" t="str">
        <f t="shared" si="29"/>
        <v xml:space="preserve"> </v>
      </c>
      <c r="G18" s="54" t="str">
        <f t="shared" si="29"/>
        <v xml:space="preserve"> </v>
      </c>
      <c r="H18" s="54" t="str">
        <f t="shared" si="29"/>
        <v xml:space="preserve"> </v>
      </c>
      <c r="I18" s="56">
        <f t="shared" si="3"/>
        <v>0</v>
      </c>
      <c r="P18" s="259"/>
      <c r="Q18" s="259"/>
      <c r="R18" s="253"/>
      <c r="S18" s="259"/>
      <c r="T18" s="259"/>
      <c r="V18" s="259"/>
      <c r="W18" s="259"/>
      <c r="Y18" s="259"/>
      <c r="Z18" s="259"/>
      <c r="AB18" s="259"/>
      <c r="AC18" s="259"/>
      <c r="AE18" s="259"/>
      <c r="AF18" s="259"/>
    </row>
    <row r="19" spans="1:32" ht="15.75" thickBot="1" x14ac:dyDescent="0.3">
      <c r="A19" s="470"/>
      <c r="B19" s="485"/>
      <c r="C19" s="114" t="s">
        <v>524</v>
      </c>
      <c r="D19" s="327">
        <f>IFERROR(SUM(D16:D18), " ")</f>
        <v>0</v>
      </c>
      <c r="E19" s="327">
        <f t="shared" ref="E19" si="30">IFERROR(SUM(E16:E18), " ")</f>
        <v>0</v>
      </c>
      <c r="F19" s="327">
        <f t="shared" ref="F19" si="31">IFERROR(SUM(F16:F18), " ")</f>
        <v>0</v>
      </c>
      <c r="G19" s="327">
        <f t="shared" ref="G19" si="32">IFERROR(SUM(G16:G18), " ")</f>
        <v>0</v>
      </c>
      <c r="H19" s="327">
        <f t="shared" ref="H19" si="33">IFERROR(SUM(H16:H18), " ")</f>
        <v>0</v>
      </c>
      <c r="I19" s="343">
        <f t="shared" si="3"/>
        <v>0</v>
      </c>
      <c r="P19" s="259"/>
      <c r="Q19" s="259"/>
      <c r="R19" s="253"/>
      <c r="S19" s="259"/>
      <c r="T19" s="259"/>
      <c r="V19" s="259"/>
      <c r="W19" s="259"/>
      <c r="Y19" s="259"/>
      <c r="Z19" s="259"/>
      <c r="AB19" s="259"/>
      <c r="AC19" s="259"/>
      <c r="AE19" s="259"/>
      <c r="AF19" s="259"/>
    </row>
    <row r="20" spans="1:32" x14ac:dyDescent="0.25">
      <c r="A20" s="468" t="s">
        <v>383</v>
      </c>
      <c r="B20" s="483" t="s">
        <v>440</v>
      </c>
      <c r="C20" s="169" t="s">
        <v>385</v>
      </c>
      <c r="D20" s="54" t="str">
        <f>IFERROR(VLOOKUP(C20,'1B. Academic'!$A$11:$AF$145,6,FALSE)/($N$2)*E41*D41,(" "))</f>
        <v xml:space="preserve"> </v>
      </c>
      <c r="E20" s="54" t="str" cm="1">
        <f t="array" ref="E20">IFERROR(INDEX('1B. Academic'!$A$11:$AF$145,MATCH($C20,'1B. Academic'!$A$11:$A$145,0)+1,10)/($N$2)*F41*D41,(" "))</f>
        <v xml:space="preserve"> </v>
      </c>
      <c r="F20" s="54" t="str" cm="1">
        <f t="array" ref="F20">IFERROR(INDEX('1B. Academic'!$A$11:$AF$145,MATCH($C20,'1B. Academic'!$A$11:$A$145,0)+2,14)/($N$2)*G41*D41,(" "))</f>
        <v xml:space="preserve"> </v>
      </c>
      <c r="G20" s="54" t="str" cm="1">
        <f t="array" ref="G20">IFERROR(INDEX('1B. Academic'!$A$11:$AF$145,MATCH($C20,'1B. Academic'!$A$11:$A$145,0)+3,18)/($N$2)*H41*D41,(" "))</f>
        <v xml:space="preserve"> </v>
      </c>
      <c r="H20" s="54" t="str" cm="1">
        <f t="array" ref="H20">IFERROR(INDEX('1B. Academic'!$A$11:$AF$145,MATCH($C20,'1B. Academic'!$A$11:$A$145,0)+4,22)/($N$2)*I41*D41,(" "))</f>
        <v xml:space="preserve"> </v>
      </c>
      <c r="I20" s="56">
        <f t="shared" si="3"/>
        <v>0</v>
      </c>
      <c r="P20" s="259" t="str">
        <f t="shared" si="6"/>
        <v xml:space="preserve"> </v>
      </c>
      <c r="Q20" s="259">
        <f t="shared" si="7"/>
        <v>0</v>
      </c>
      <c r="R20" s="253"/>
      <c r="S20" s="259" t="str">
        <f t="shared" si="8"/>
        <v xml:space="preserve"> </v>
      </c>
      <c r="T20" s="259">
        <f t="shared" si="9"/>
        <v>0</v>
      </c>
      <c r="V20" s="259" t="str">
        <f t="shared" si="10"/>
        <v xml:space="preserve"> </v>
      </c>
      <c r="W20" s="259">
        <f t="shared" si="11"/>
        <v>0</v>
      </c>
      <c r="Y20" s="259" t="str">
        <f t="shared" si="12"/>
        <v xml:space="preserve"> </v>
      </c>
      <c r="Z20" s="259">
        <f t="shared" si="13"/>
        <v>0</v>
      </c>
      <c r="AB20" s="259" t="str">
        <f t="shared" si="14"/>
        <v xml:space="preserve"> </v>
      </c>
      <c r="AC20" s="259">
        <f t="shared" si="15"/>
        <v>0</v>
      </c>
      <c r="AE20" s="259" t="e">
        <f t="shared" si="0"/>
        <v>#VALUE!</v>
      </c>
      <c r="AF20" s="259">
        <f t="shared" si="1"/>
        <v>0</v>
      </c>
    </row>
    <row r="21" spans="1:32" x14ac:dyDescent="0.25">
      <c r="A21" s="469"/>
      <c r="B21" s="484"/>
      <c r="C21" s="340" t="s">
        <v>522</v>
      </c>
      <c r="D21" s="54" t="str">
        <f>IFERROR(D20*$AL$1," ")</f>
        <v xml:space="preserve"> </v>
      </c>
      <c r="E21" s="54" t="str">
        <f t="shared" ref="E21" si="34">IFERROR(E20*$AL$1," ")</f>
        <v xml:space="preserve"> </v>
      </c>
      <c r="F21" s="54" t="str">
        <f t="shared" ref="F21" si="35">IFERROR(F20*$AL$1," ")</f>
        <v xml:space="preserve"> </v>
      </c>
      <c r="G21" s="54" t="str">
        <f t="shared" ref="G21" si="36">IFERROR(G20*$AL$1," ")</f>
        <v xml:space="preserve"> </v>
      </c>
      <c r="H21" s="54" t="str">
        <f t="shared" ref="H21" si="37">IFERROR(H20*$AL$1," ")</f>
        <v xml:space="preserve"> </v>
      </c>
      <c r="I21" s="56">
        <f t="shared" si="3"/>
        <v>0</v>
      </c>
      <c r="P21" s="259"/>
      <c r="Q21" s="259"/>
      <c r="R21" s="253"/>
      <c r="S21" s="259"/>
      <c r="T21" s="259"/>
      <c r="V21" s="259"/>
      <c r="W21" s="259"/>
      <c r="Y21" s="259"/>
      <c r="Z21" s="259"/>
      <c r="AB21" s="259"/>
      <c r="AC21" s="259"/>
      <c r="AE21" s="259"/>
      <c r="AF21" s="259"/>
    </row>
    <row r="22" spans="1:32" x14ac:dyDescent="0.25">
      <c r="A22" s="469"/>
      <c r="B22" s="484"/>
      <c r="C22" s="340" t="s">
        <v>525</v>
      </c>
      <c r="D22" s="54" t="str">
        <f>IFERROR(D20*$AL$2, " ")</f>
        <v xml:space="preserve"> </v>
      </c>
      <c r="E22" s="54" t="str">
        <f t="shared" ref="E22:H22" si="38">IFERROR(E20*$AL$2, " ")</f>
        <v xml:space="preserve"> </v>
      </c>
      <c r="F22" s="54" t="str">
        <f t="shared" si="38"/>
        <v xml:space="preserve"> </v>
      </c>
      <c r="G22" s="54" t="str">
        <f t="shared" si="38"/>
        <v xml:space="preserve"> </v>
      </c>
      <c r="H22" s="54" t="str">
        <f t="shared" si="38"/>
        <v xml:space="preserve"> </v>
      </c>
      <c r="I22" s="56">
        <f t="shared" si="3"/>
        <v>0</v>
      </c>
      <c r="P22" s="259"/>
      <c r="Q22" s="259"/>
      <c r="R22" s="253"/>
      <c r="S22" s="259"/>
      <c r="T22" s="259"/>
      <c r="V22" s="259"/>
      <c r="W22" s="259"/>
      <c r="Y22" s="259"/>
      <c r="Z22" s="259"/>
      <c r="AB22" s="259"/>
      <c r="AC22" s="259"/>
      <c r="AE22" s="259"/>
      <c r="AF22" s="259"/>
    </row>
    <row r="23" spans="1:32" ht="15.75" thickBot="1" x14ac:dyDescent="0.3">
      <c r="A23" s="470"/>
      <c r="B23" s="485"/>
      <c r="C23" s="114" t="s">
        <v>524</v>
      </c>
      <c r="D23" s="327">
        <f>IFERROR(SUM(D20:D22), " ")</f>
        <v>0</v>
      </c>
      <c r="E23" s="327">
        <f t="shared" ref="E23" si="39">IFERROR(SUM(E20:E22), " ")</f>
        <v>0</v>
      </c>
      <c r="F23" s="327">
        <f t="shared" ref="F23" si="40">IFERROR(SUM(F20:F22), " ")</f>
        <v>0</v>
      </c>
      <c r="G23" s="327">
        <f t="shared" ref="G23" si="41">IFERROR(SUM(G20:G22), " ")</f>
        <v>0</v>
      </c>
      <c r="H23" s="327">
        <f t="shared" ref="H23" si="42">IFERROR(SUM(H20:H22), " ")</f>
        <v>0</v>
      </c>
      <c r="I23" s="343">
        <f t="shared" si="3"/>
        <v>0</v>
      </c>
      <c r="P23" s="259"/>
      <c r="Q23" s="259"/>
      <c r="R23" s="253"/>
      <c r="S23" s="259"/>
      <c r="T23" s="259"/>
      <c r="V23" s="259"/>
      <c r="W23" s="259"/>
      <c r="Y23" s="259"/>
      <c r="Z23" s="259"/>
      <c r="AB23" s="259"/>
      <c r="AC23" s="259"/>
      <c r="AE23" s="259"/>
      <c r="AF23" s="259"/>
    </row>
    <row r="24" spans="1:32" x14ac:dyDescent="0.25">
      <c r="A24" s="468" t="s">
        <v>384</v>
      </c>
      <c r="B24" s="483" t="s">
        <v>440</v>
      </c>
      <c r="C24" s="169" t="s">
        <v>385</v>
      </c>
      <c r="D24" s="90" t="str">
        <f>IFERROR(VLOOKUP(C24,'1B. Academic'!$A$11:$AF$145,6,FALSE)/($N$2)*E42*D42,(" "))</f>
        <v xml:space="preserve"> </v>
      </c>
      <c r="E24" s="90" t="str" cm="1">
        <f t="array" ref="E24">IFERROR(INDEX('1B. Academic'!$A$11:$AF$145,MATCH($C24,'1B. Academic'!$A$11:$A$145,0)+1,10)/($N$2)*F42*D42,(" "))</f>
        <v xml:space="preserve"> </v>
      </c>
      <c r="F24" s="90" t="str" cm="1">
        <f t="array" ref="F24">IFERROR(INDEX('1B. Academic'!$A$11:$AF$145,MATCH($C24,'1B. Academic'!$A$11:$A$145,0)+2,14)/($N$2)*G42*D42,(" "))</f>
        <v xml:space="preserve"> </v>
      </c>
      <c r="G24" s="90" t="str" cm="1">
        <f t="array" ref="G24">IFERROR(INDEX('1B. Academic'!$A$11:$AF$145,MATCH($C24,'1B. Academic'!$A$11:$A$145,0)+3,18)/($N$2)*H42*D42,(" "))</f>
        <v xml:space="preserve"> </v>
      </c>
      <c r="H24" s="90" t="str" cm="1">
        <f t="array" ref="H24">IFERROR(INDEX('1B. Academic'!$A$11:$AF$145,MATCH($C24,'1B. Academic'!$A$11:$A$145,0)+4,22)/($N$2)*I42*D42,(" "))</f>
        <v xml:space="preserve"> </v>
      </c>
      <c r="I24" s="56">
        <f t="shared" si="3"/>
        <v>0</v>
      </c>
      <c r="P24" s="259" t="str">
        <f t="shared" si="6"/>
        <v xml:space="preserve"> </v>
      </c>
      <c r="Q24" s="259">
        <f t="shared" si="7"/>
        <v>0</v>
      </c>
      <c r="R24" s="253"/>
      <c r="S24" s="259" t="str">
        <f t="shared" si="8"/>
        <v xml:space="preserve"> </v>
      </c>
      <c r="T24" s="259">
        <f t="shared" si="9"/>
        <v>0</v>
      </c>
      <c r="V24" s="259" t="str">
        <f t="shared" si="10"/>
        <v xml:space="preserve"> </v>
      </c>
      <c r="W24" s="259">
        <f t="shared" si="11"/>
        <v>0</v>
      </c>
      <c r="Y24" s="259" t="str">
        <f t="shared" si="12"/>
        <v xml:space="preserve"> </v>
      </c>
      <c r="Z24" s="259">
        <f t="shared" si="13"/>
        <v>0</v>
      </c>
      <c r="AB24" s="259" t="str">
        <f t="shared" si="14"/>
        <v xml:space="preserve"> </v>
      </c>
      <c r="AC24" s="259">
        <f t="shared" si="15"/>
        <v>0</v>
      </c>
      <c r="AE24" s="259" t="e">
        <f t="shared" si="0"/>
        <v>#VALUE!</v>
      </c>
      <c r="AF24" s="259">
        <f t="shared" si="1"/>
        <v>0</v>
      </c>
    </row>
    <row r="25" spans="1:32" x14ac:dyDescent="0.25">
      <c r="A25" s="469"/>
      <c r="B25" s="484"/>
      <c r="C25" s="340" t="s">
        <v>522</v>
      </c>
      <c r="D25" s="54" t="str">
        <f>IFERROR(D24*$AL$1," ")</f>
        <v xml:space="preserve"> </v>
      </c>
      <c r="E25" s="54" t="str">
        <f t="shared" ref="E25" si="43">IFERROR(E24*$AL$1," ")</f>
        <v xml:space="preserve"> </v>
      </c>
      <c r="F25" s="54" t="str">
        <f t="shared" ref="F25" si="44">IFERROR(F24*$AL$1," ")</f>
        <v xml:space="preserve"> </v>
      </c>
      <c r="G25" s="54" t="str">
        <f t="shared" ref="G25" si="45">IFERROR(G24*$AL$1," ")</f>
        <v xml:space="preserve"> </v>
      </c>
      <c r="H25" s="54" t="str">
        <f t="shared" ref="H25" si="46">IFERROR(H24*$AL$1," ")</f>
        <v xml:space="preserve"> </v>
      </c>
      <c r="I25" s="56">
        <f t="shared" si="3"/>
        <v>0</v>
      </c>
      <c r="P25" s="259"/>
      <c r="Q25" s="259"/>
      <c r="R25" s="253"/>
      <c r="S25" s="259"/>
      <c r="T25" s="259"/>
      <c r="V25" s="259"/>
      <c r="W25" s="259"/>
      <c r="Y25" s="259"/>
      <c r="Z25" s="259"/>
      <c r="AB25" s="259"/>
      <c r="AC25" s="259"/>
      <c r="AE25" s="259"/>
      <c r="AF25" s="259"/>
    </row>
    <row r="26" spans="1:32" x14ac:dyDescent="0.25">
      <c r="A26" s="469"/>
      <c r="B26" s="484"/>
      <c r="C26" s="340" t="s">
        <v>525</v>
      </c>
      <c r="D26" s="54" t="str">
        <f>IFERROR(D24*$AL$2, " ")</f>
        <v xml:space="preserve"> </v>
      </c>
      <c r="E26" s="54" t="str">
        <f t="shared" ref="E26:H26" si="47">IFERROR(E24*$AL$2, " ")</f>
        <v xml:space="preserve"> </v>
      </c>
      <c r="F26" s="54" t="str">
        <f t="shared" si="47"/>
        <v xml:space="preserve"> </v>
      </c>
      <c r="G26" s="54" t="str">
        <f t="shared" si="47"/>
        <v xml:space="preserve"> </v>
      </c>
      <c r="H26" s="54" t="str">
        <f t="shared" si="47"/>
        <v xml:space="preserve"> </v>
      </c>
      <c r="I26" s="56">
        <f t="shared" si="3"/>
        <v>0</v>
      </c>
      <c r="P26" s="259"/>
      <c r="Q26" s="259"/>
      <c r="R26" s="253"/>
      <c r="S26" s="259"/>
      <c r="T26" s="259"/>
      <c r="V26" s="259"/>
      <c r="W26" s="259"/>
      <c r="Y26" s="259"/>
      <c r="Z26" s="259"/>
      <c r="AB26" s="259"/>
      <c r="AC26" s="259"/>
      <c r="AE26" s="259"/>
      <c r="AF26" s="259"/>
    </row>
    <row r="27" spans="1:32" ht="15.75" thickBot="1" x14ac:dyDescent="0.3">
      <c r="A27" s="470"/>
      <c r="B27" s="485"/>
      <c r="C27" s="114" t="s">
        <v>524</v>
      </c>
      <c r="D27" s="327">
        <f>IFERROR(SUM(D24:D26), " ")</f>
        <v>0</v>
      </c>
      <c r="E27" s="327">
        <f t="shared" ref="E27" si="48">IFERROR(SUM(E24:E26), " ")</f>
        <v>0</v>
      </c>
      <c r="F27" s="327">
        <f t="shared" ref="F27" si="49">IFERROR(SUM(F24:F26), " ")</f>
        <v>0</v>
      </c>
      <c r="G27" s="327">
        <f t="shared" ref="G27" si="50">IFERROR(SUM(G24:G26), " ")</f>
        <v>0</v>
      </c>
      <c r="H27" s="327">
        <f t="shared" ref="H27" si="51">IFERROR(SUM(H24:H26), " ")</f>
        <v>0</v>
      </c>
      <c r="I27" s="343">
        <f t="shared" si="3"/>
        <v>0</v>
      </c>
      <c r="P27" s="259"/>
      <c r="Q27" s="259"/>
      <c r="R27" s="253"/>
      <c r="S27" s="259"/>
      <c r="T27" s="259"/>
      <c r="V27" s="259"/>
      <c r="W27" s="259"/>
      <c r="Y27" s="259"/>
      <c r="Z27" s="259"/>
      <c r="AB27" s="259"/>
      <c r="AC27" s="259"/>
      <c r="AE27" s="259"/>
      <c r="AF27" s="259"/>
    </row>
    <row r="28" spans="1:32" ht="15.75" thickBot="1" x14ac:dyDescent="0.3">
      <c r="A28" s="58" t="s">
        <v>388</v>
      </c>
      <c r="B28" s="255"/>
      <c r="C28" s="215"/>
      <c r="D28" s="342">
        <f t="shared" ref="D28:H28" si="52">SUM(D11,D15,D19,D23,D27)</f>
        <v>0</v>
      </c>
      <c r="E28" s="342">
        <f t="shared" si="52"/>
        <v>0</v>
      </c>
      <c r="F28" s="342">
        <f t="shared" si="52"/>
        <v>0</v>
      </c>
      <c r="G28" s="342">
        <f t="shared" si="52"/>
        <v>0</v>
      </c>
      <c r="H28" s="342">
        <f t="shared" si="52"/>
        <v>0</v>
      </c>
      <c r="I28" s="342">
        <f>SUM(I11,I15,I19,I23,I27)</f>
        <v>0</v>
      </c>
      <c r="P28" s="259">
        <f>SUM(P8:P24)</f>
        <v>0</v>
      </c>
      <c r="Q28" s="259">
        <f>SUM(Q8:Q24)</f>
        <v>0</v>
      </c>
      <c r="R28" s="253"/>
      <c r="S28" s="259">
        <f>SUM(S8:S24)</f>
        <v>0</v>
      </c>
      <c r="T28" s="259">
        <f>SUM(T8:T24)</f>
        <v>0</v>
      </c>
      <c r="V28" s="259">
        <f>SUM(V8:V24)</f>
        <v>0</v>
      </c>
      <c r="W28" s="259">
        <f>SUM(W8:W24)</f>
        <v>0</v>
      </c>
      <c r="Y28" s="259">
        <f>SUM(Y8:Y24)</f>
        <v>0</v>
      </c>
      <c r="Z28" s="259">
        <f>SUM(Z8:Z24)</f>
        <v>0</v>
      </c>
      <c r="AB28" s="259">
        <f>SUM(AB8:AB24)</f>
        <v>0</v>
      </c>
      <c r="AC28" s="259">
        <f>SUM(AC8:AC24)</f>
        <v>0</v>
      </c>
      <c r="AE28" s="259">
        <f t="shared" si="0"/>
        <v>0</v>
      </c>
      <c r="AF28" s="259">
        <f t="shared" si="1"/>
        <v>0</v>
      </c>
    </row>
    <row r="29" spans="1:32" hidden="1" x14ac:dyDescent="0.25">
      <c r="A29" s="85" t="s">
        <v>528</v>
      </c>
      <c r="B29" s="85"/>
      <c r="C29" s="351"/>
      <c r="D29" s="322">
        <f>SUM(D8,D12,D16,D20,D24)</f>
        <v>0</v>
      </c>
      <c r="E29" s="322">
        <f t="shared" ref="E29:I29" si="53">SUM(E8,E12,E16,E20,E24)</f>
        <v>0</v>
      </c>
      <c r="F29" s="322">
        <f t="shared" si="53"/>
        <v>0</v>
      </c>
      <c r="G29" s="322">
        <f t="shared" si="53"/>
        <v>0</v>
      </c>
      <c r="H29" s="322">
        <f t="shared" si="53"/>
        <v>0</v>
      </c>
      <c r="I29" s="322">
        <f t="shared" si="53"/>
        <v>0</v>
      </c>
      <c r="P29" s="352"/>
      <c r="Q29" s="352"/>
      <c r="R29" s="253"/>
      <c r="S29" s="352"/>
      <c r="T29" s="352"/>
      <c r="V29" s="352"/>
      <c r="W29" s="352"/>
      <c r="Y29" s="352"/>
      <c r="Z29" s="352"/>
      <c r="AB29" s="352"/>
      <c r="AC29" s="352"/>
      <c r="AE29" s="352"/>
      <c r="AF29" s="352"/>
    </row>
    <row r="30" spans="1:32" hidden="1" x14ac:dyDescent="0.25">
      <c r="A30" s="85" t="s">
        <v>526</v>
      </c>
      <c r="B30" s="85"/>
      <c r="C30" s="351"/>
      <c r="D30" s="322">
        <f>SUM(D9,D13,D17,D21,D25)</f>
        <v>0</v>
      </c>
      <c r="E30" s="322">
        <f t="shared" ref="E30:I30" si="54">SUM(E9,E13,E17,E21,E25)</f>
        <v>0</v>
      </c>
      <c r="F30" s="322">
        <f t="shared" si="54"/>
        <v>0</v>
      </c>
      <c r="G30" s="322">
        <f t="shared" si="54"/>
        <v>0</v>
      </c>
      <c r="H30" s="322">
        <f t="shared" si="54"/>
        <v>0</v>
      </c>
      <c r="I30" s="322">
        <f t="shared" si="54"/>
        <v>0</v>
      </c>
      <c r="P30" s="352"/>
      <c r="Q30" s="352"/>
      <c r="R30" s="253"/>
      <c r="S30" s="352"/>
      <c r="T30" s="352"/>
      <c r="V30" s="352"/>
      <c r="W30" s="352"/>
      <c r="Y30" s="352"/>
      <c r="Z30" s="352"/>
      <c r="AB30" s="352"/>
      <c r="AC30" s="352"/>
      <c r="AE30" s="352"/>
      <c r="AF30" s="352"/>
    </row>
    <row r="31" spans="1:32" hidden="1" x14ac:dyDescent="0.25">
      <c r="A31" s="85" t="s">
        <v>446</v>
      </c>
      <c r="B31" s="85"/>
      <c r="C31" s="351"/>
      <c r="D31" s="322">
        <f>SUM(D10,D14,D18,D22,D26)</f>
        <v>0</v>
      </c>
      <c r="E31" s="322">
        <f t="shared" ref="E31:I31" si="55">SUM(E10,E14,E18,E22,E26)</f>
        <v>0</v>
      </c>
      <c r="F31" s="322">
        <f t="shared" si="55"/>
        <v>0</v>
      </c>
      <c r="G31" s="322">
        <f t="shared" si="55"/>
        <v>0</v>
      </c>
      <c r="H31" s="322">
        <f t="shared" si="55"/>
        <v>0</v>
      </c>
      <c r="I31" s="322">
        <f t="shared" si="55"/>
        <v>0</v>
      </c>
      <c r="P31" s="352"/>
      <c r="Q31" s="352"/>
      <c r="R31" s="253"/>
      <c r="S31" s="352"/>
      <c r="T31" s="352"/>
      <c r="V31" s="352"/>
      <c r="W31" s="352"/>
      <c r="Y31" s="352"/>
      <c r="Z31" s="352"/>
      <c r="AB31" s="352"/>
      <c r="AC31" s="352"/>
      <c r="AE31" s="352"/>
      <c r="AF31" s="352"/>
    </row>
    <row r="32" spans="1:32" hidden="1" x14ac:dyDescent="0.25">
      <c r="A32" s="85"/>
      <c r="B32" s="85"/>
      <c r="C32" s="351"/>
      <c r="D32" s="322"/>
      <c r="E32" s="322"/>
      <c r="F32" s="322"/>
      <c r="G32" s="322"/>
      <c r="H32" s="322"/>
      <c r="I32" s="322"/>
      <c r="P32" s="352"/>
      <c r="Q32" s="352"/>
      <c r="R32" s="253"/>
      <c r="S32" s="352"/>
      <c r="T32" s="352"/>
      <c r="V32" s="352"/>
      <c r="W32" s="352"/>
      <c r="Y32" s="352"/>
      <c r="Z32" s="352"/>
      <c r="AB32" s="352"/>
      <c r="AC32" s="352"/>
      <c r="AE32" s="352"/>
      <c r="AF32" s="352"/>
    </row>
    <row r="33" spans="1:32" x14ac:dyDescent="0.25">
      <c r="A33" s="106"/>
      <c r="B33" s="106"/>
      <c r="C33" s="106"/>
      <c r="D33" s="106"/>
      <c r="E33" s="106"/>
      <c r="F33" s="106"/>
      <c r="G33" s="106"/>
      <c r="H33" s="106"/>
      <c r="I33" s="106"/>
      <c r="P33" s="260"/>
      <c r="Q33" s="260">
        <f>P28+Q28</f>
        <v>0</v>
      </c>
      <c r="R33" s="253"/>
      <c r="S33" s="260"/>
      <c r="T33" s="260">
        <f>S28+T28</f>
        <v>0</v>
      </c>
      <c r="V33" s="260"/>
      <c r="W33" s="260">
        <f>V28+W28</f>
        <v>0</v>
      </c>
      <c r="Y33" s="260"/>
      <c r="Z33" s="260">
        <f>Y28+Z28</f>
        <v>0</v>
      </c>
      <c r="AB33" s="260"/>
      <c r="AC33" s="260">
        <f>AB28+AC28</f>
        <v>0</v>
      </c>
      <c r="AE33" s="260"/>
      <c r="AF33" s="260">
        <f>AE28+AF28</f>
        <v>0</v>
      </c>
    </row>
    <row r="34" spans="1:32" ht="15.75" thickBot="1" x14ac:dyDescent="0.3">
      <c r="A34" s="107"/>
      <c r="B34" s="107"/>
      <c r="C34" s="106"/>
      <c r="D34" s="106"/>
      <c r="E34" s="106"/>
      <c r="F34" s="106"/>
      <c r="G34" s="106"/>
      <c r="H34" s="106"/>
      <c r="I34" s="106"/>
      <c r="P34" s="260"/>
      <c r="Q34" s="260"/>
      <c r="R34" s="253"/>
    </row>
    <row r="35" spans="1:32" ht="18.75" x14ac:dyDescent="0.3">
      <c r="C35" s="211" t="s">
        <v>259</v>
      </c>
      <c r="D35" s="74"/>
      <c r="E35" s="86" t="s">
        <v>109</v>
      </c>
      <c r="F35" s="86" t="s">
        <v>110</v>
      </c>
      <c r="G35" s="86" t="s">
        <v>111</v>
      </c>
      <c r="H35" s="86" t="s">
        <v>112</v>
      </c>
      <c r="I35" s="66" t="s">
        <v>194</v>
      </c>
      <c r="P35" s="260"/>
      <c r="Q35" s="260"/>
      <c r="R35" s="253"/>
    </row>
    <row r="36" spans="1:32" x14ac:dyDescent="0.25">
      <c r="C36" s="87"/>
      <c r="E36" s="88" t="str">
        <f>D6</f>
        <v>2023/2024</v>
      </c>
      <c r="F36" s="88" t="s">
        <v>116</v>
      </c>
      <c r="G36" s="88" t="s">
        <v>117</v>
      </c>
      <c r="H36" s="88" t="s">
        <v>125</v>
      </c>
      <c r="I36" s="89" t="s">
        <v>219</v>
      </c>
      <c r="P36" s="260"/>
      <c r="Q36" s="260"/>
      <c r="R36" s="253"/>
    </row>
    <row r="37" spans="1:32" ht="23.25" customHeight="1" thickBot="1" x14ac:dyDescent="0.3">
      <c r="C37" s="103" t="s">
        <v>258</v>
      </c>
      <c r="D37" s="53" t="s">
        <v>250</v>
      </c>
      <c r="E37" s="104" t="s">
        <v>192</v>
      </c>
      <c r="F37" s="104" t="s">
        <v>192</v>
      </c>
      <c r="G37" s="104" t="s">
        <v>192</v>
      </c>
      <c r="H37" s="104" t="s">
        <v>192</v>
      </c>
      <c r="I37" s="105" t="s">
        <v>192</v>
      </c>
      <c r="P37" s="260"/>
      <c r="Q37" s="260"/>
      <c r="R37" s="253"/>
    </row>
    <row r="38" spans="1:32" x14ac:dyDescent="0.25">
      <c r="C38" s="55" t="str">
        <f>A8</f>
        <v xml:space="preserve">Principal investigator </v>
      </c>
      <c r="D38" s="212">
        <v>1</v>
      </c>
      <c r="E38" s="213">
        <v>12</v>
      </c>
      <c r="F38" s="213">
        <v>12</v>
      </c>
      <c r="G38" s="213">
        <v>12</v>
      </c>
      <c r="H38" s="383"/>
      <c r="I38" s="383"/>
      <c r="P38" s="260"/>
      <c r="Q38" s="260"/>
      <c r="R38" s="253"/>
    </row>
    <row r="39" spans="1:32" x14ac:dyDescent="0.25">
      <c r="C39" s="55" t="str">
        <f>A12</f>
        <v>Team member 2</v>
      </c>
      <c r="D39" s="167">
        <v>1</v>
      </c>
      <c r="E39" s="213">
        <v>12</v>
      </c>
      <c r="F39" s="213">
        <v>12</v>
      </c>
      <c r="G39" s="213">
        <v>12</v>
      </c>
      <c r="H39" s="383"/>
      <c r="I39" s="383"/>
      <c r="P39" s="260"/>
      <c r="Q39" s="260"/>
      <c r="R39" s="253"/>
    </row>
    <row r="40" spans="1:32" x14ac:dyDescent="0.25">
      <c r="C40" s="55" t="str">
        <f>A16</f>
        <v>Team member 3</v>
      </c>
      <c r="D40" s="167">
        <v>1</v>
      </c>
      <c r="E40" s="213">
        <v>12</v>
      </c>
      <c r="F40" s="213">
        <v>12</v>
      </c>
      <c r="G40" s="213">
        <v>12</v>
      </c>
      <c r="H40" s="383"/>
      <c r="I40" s="383"/>
      <c r="P40" s="260"/>
      <c r="Q40" s="260"/>
      <c r="R40" s="253"/>
    </row>
    <row r="41" spans="1:32" x14ac:dyDescent="0.25">
      <c r="C41" s="55" t="str">
        <f>A20</f>
        <v>Team member 4</v>
      </c>
      <c r="D41" s="167">
        <v>1</v>
      </c>
      <c r="E41" s="213">
        <v>12</v>
      </c>
      <c r="F41" s="213">
        <v>12</v>
      </c>
      <c r="G41" s="213">
        <v>12</v>
      </c>
      <c r="H41" s="383"/>
      <c r="I41" s="383"/>
      <c r="P41" s="260"/>
      <c r="Q41" s="260"/>
      <c r="R41" s="253"/>
    </row>
    <row r="42" spans="1:32" ht="15.75" thickBot="1" x14ac:dyDescent="0.3">
      <c r="C42" s="67" t="str">
        <f>A24</f>
        <v>Team member 5</v>
      </c>
      <c r="D42" s="168">
        <v>1</v>
      </c>
      <c r="E42" s="213">
        <v>12</v>
      </c>
      <c r="F42" s="213">
        <v>12</v>
      </c>
      <c r="G42" s="213">
        <v>12</v>
      </c>
      <c r="H42" s="383"/>
      <c r="I42" s="383"/>
      <c r="P42" s="260"/>
      <c r="Q42" s="260"/>
      <c r="R42" s="253"/>
    </row>
    <row r="43" spans="1:32" x14ac:dyDescent="0.25">
      <c r="C43" s="106"/>
      <c r="D43" s="106"/>
      <c r="E43" s="106"/>
      <c r="F43" s="106"/>
      <c r="G43" s="106"/>
      <c r="H43" s="106"/>
      <c r="I43" s="106"/>
      <c r="P43" s="260"/>
      <c r="Q43" s="260"/>
      <c r="R43" s="253"/>
    </row>
    <row r="44" spans="1:32" x14ac:dyDescent="0.25">
      <c r="C44" s="106"/>
      <c r="D44" s="106"/>
      <c r="E44" s="106"/>
      <c r="F44" s="106"/>
      <c r="G44" s="106"/>
      <c r="H44" s="106"/>
      <c r="I44" s="106"/>
    </row>
    <row r="45" spans="1:32" x14ac:dyDescent="0.25">
      <c r="C45" s="106"/>
      <c r="D45" s="106"/>
      <c r="E45" s="106"/>
      <c r="F45" s="106"/>
      <c r="G45" s="106"/>
      <c r="H45" s="106"/>
      <c r="I45" s="106"/>
    </row>
    <row r="46" spans="1:32" x14ac:dyDescent="0.25">
      <c r="C46" s="106"/>
      <c r="D46" s="106"/>
      <c r="E46" s="106"/>
      <c r="F46" s="106"/>
      <c r="G46" s="106"/>
      <c r="H46" s="106"/>
      <c r="I46" s="106"/>
    </row>
    <row r="47" spans="1:32" ht="30.75" customHeight="1" x14ac:dyDescent="0.25">
      <c r="C47" s="106"/>
      <c r="D47" s="106"/>
      <c r="E47" s="106"/>
      <c r="F47" s="106"/>
      <c r="G47" s="106"/>
      <c r="H47" s="106"/>
      <c r="I47" s="106"/>
    </row>
    <row r="48" spans="1:32" ht="39.75" customHeight="1" x14ac:dyDescent="0.25">
      <c r="C48" s="106"/>
      <c r="D48" s="106"/>
      <c r="E48" s="106"/>
      <c r="F48" s="106"/>
      <c r="G48" s="106"/>
      <c r="H48" s="106"/>
      <c r="I48" s="106"/>
    </row>
    <row r="49" spans="1:9" ht="48.6" customHeight="1" x14ac:dyDescent="0.25">
      <c r="C49" s="106"/>
      <c r="D49" s="106"/>
      <c r="E49" s="106"/>
      <c r="F49" s="106"/>
      <c r="G49" s="106"/>
      <c r="H49" s="106"/>
      <c r="I49" s="106"/>
    </row>
    <row r="50" spans="1:9" ht="0.75" customHeight="1" x14ac:dyDescent="0.25">
      <c r="C50" s="106"/>
      <c r="D50" s="106"/>
      <c r="E50" s="106"/>
      <c r="F50" s="106"/>
      <c r="G50" s="106"/>
      <c r="H50" s="106"/>
      <c r="I50" s="106"/>
    </row>
    <row r="51" spans="1:9" ht="3" customHeight="1" x14ac:dyDescent="0.25">
      <c r="C51" s="106"/>
      <c r="D51" s="106"/>
      <c r="E51" s="106"/>
      <c r="F51" s="106"/>
      <c r="G51" s="106"/>
      <c r="H51" s="106"/>
      <c r="I51" s="106"/>
    </row>
    <row r="52" spans="1:9" ht="1.5" customHeight="1" x14ac:dyDescent="0.25"/>
    <row r="53" spans="1:9" hidden="1" x14ac:dyDescent="0.25">
      <c r="A53" t="s">
        <v>109</v>
      </c>
    </row>
    <row r="54" spans="1:9" hidden="1" x14ac:dyDescent="0.25">
      <c r="A54" t="s">
        <v>460</v>
      </c>
    </row>
    <row r="55" spans="1:9" hidden="1" x14ac:dyDescent="0.25">
      <c r="A55" s="269"/>
      <c r="B55" s="270" t="s">
        <v>461</v>
      </c>
      <c r="C55" s="270" t="s">
        <v>3</v>
      </c>
      <c r="D55" s="270" t="s">
        <v>462</v>
      </c>
      <c r="E55" s="270" t="s">
        <v>463</v>
      </c>
      <c r="F55" s="281" t="s">
        <v>12</v>
      </c>
      <c r="G55" s="270"/>
      <c r="H55" s="271"/>
      <c r="I55" s="268"/>
    </row>
    <row r="56" spans="1:9" hidden="1" x14ac:dyDescent="0.25">
      <c r="A56" s="269" t="s">
        <v>440</v>
      </c>
      <c r="B56" s="278">
        <f>P28</f>
        <v>0</v>
      </c>
      <c r="C56" s="270">
        <f>B56/'1B. Academic'!$G$2*'1B. Academic'!$F$2</f>
        <v>0</v>
      </c>
      <c r="D56" s="276">
        <f>B56/'1B. Academic'!$G$2</f>
        <v>0</v>
      </c>
      <c r="E56" s="276">
        <f>B56/'1B. Academic'!$G$2*'1B. Academic'!$F$3</f>
        <v>0</v>
      </c>
      <c r="F56" s="282">
        <f>SUM(C56:E56)</f>
        <v>0</v>
      </c>
      <c r="G56" s="270"/>
      <c r="H56" s="271"/>
      <c r="I56" s="268"/>
    </row>
    <row r="57" spans="1:9" ht="15.75" hidden="1" thickBot="1" x14ac:dyDescent="0.3">
      <c r="A57" s="272" t="s">
        <v>466</v>
      </c>
      <c r="B57" s="279">
        <f>Q28</f>
        <v>0</v>
      </c>
      <c r="C57" s="276" t="s">
        <v>191</v>
      </c>
      <c r="D57" s="277" t="s">
        <v>191</v>
      </c>
      <c r="E57" s="273"/>
      <c r="F57" s="282">
        <f>B57</f>
        <v>0</v>
      </c>
      <c r="G57" s="273"/>
      <c r="H57" s="274"/>
      <c r="I57" s="268"/>
    </row>
    <row r="58" spans="1:9" hidden="1" x14ac:dyDescent="0.25">
      <c r="A58" s="275" t="s">
        <v>12</v>
      </c>
      <c r="B58" s="280">
        <f>SUM(B56:B57)</f>
        <v>0</v>
      </c>
      <c r="C58" s="280">
        <f>SUM(C56:C57)</f>
        <v>0</v>
      </c>
      <c r="D58" s="280">
        <f>SUM(D56:D57)</f>
        <v>0</v>
      </c>
      <c r="E58" s="268">
        <f>SUM(E56:E57)</f>
        <v>0</v>
      </c>
      <c r="F58" s="280">
        <f>SUM(F56:F57)</f>
        <v>0</v>
      </c>
      <c r="G58" s="286">
        <f>F58-D28</f>
        <v>0</v>
      </c>
      <c r="H58" s="268"/>
      <c r="I58" s="268"/>
    </row>
    <row r="59" spans="1:9" hidden="1" x14ac:dyDescent="0.25">
      <c r="A59" s="268"/>
      <c r="B59" s="268"/>
      <c r="C59" s="268"/>
      <c r="D59" s="268"/>
      <c r="E59" s="268"/>
      <c r="F59" s="268"/>
      <c r="G59" s="268"/>
      <c r="H59" s="268"/>
      <c r="I59" s="268"/>
    </row>
    <row r="60" spans="1:9" hidden="1" x14ac:dyDescent="0.25">
      <c r="A60" t="s">
        <v>110</v>
      </c>
    </row>
    <row r="61" spans="1:9" hidden="1" x14ac:dyDescent="0.25">
      <c r="A61" t="s">
        <v>460</v>
      </c>
    </row>
    <row r="62" spans="1:9" hidden="1" x14ac:dyDescent="0.25">
      <c r="A62" s="269"/>
      <c r="B62" s="270" t="s">
        <v>461</v>
      </c>
      <c r="C62" s="270" t="s">
        <v>3</v>
      </c>
      <c r="D62" s="270" t="s">
        <v>462</v>
      </c>
      <c r="E62" s="270" t="s">
        <v>463</v>
      </c>
      <c r="F62" s="281" t="s">
        <v>12</v>
      </c>
    </row>
    <row r="63" spans="1:9" hidden="1" x14ac:dyDescent="0.25">
      <c r="A63" s="269" t="s">
        <v>440</v>
      </c>
      <c r="B63" s="278">
        <f>S28</f>
        <v>0</v>
      </c>
      <c r="C63" s="276">
        <f>B63/'1B. Academic'!$G$2*'1B. Academic'!$F$2</f>
        <v>0</v>
      </c>
      <c r="D63" s="276">
        <f>B63/'1B. Academic'!$G$2</f>
        <v>0</v>
      </c>
      <c r="E63" s="276">
        <f>B63/'1B. Academic'!$G$2*'1B. Academic'!$F$3</f>
        <v>0</v>
      </c>
      <c r="F63" s="282">
        <f>SUM(C63:E63)</f>
        <v>0</v>
      </c>
    </row>
    <row r="64" spans="1:9" ht="15.75" hidden="1" thickBot="1" x14ac:dyDescent="0.3">
      <c r="A64" s="272" t="s">
        <v>466</v>
      </c>
      <c r="B64" s="279">
        <f>T28</f>
        <v>0</v>
      </c>
      <c r="C64" s="276" t="s">
        <v>191</v>
      </c>
      <c r="D64" s="277" t="s">
        <v>191</v>
      </c>
      <c r="E64" s="273"/>
      <c r="F64" s="282">
        <f>B64</f>
        <v>0</v>
      </c>
    </row>
    <row r="65" spans="1:7" hidden="1" x14ac:dyDescent="0.25">
      <c r="A65" s="275" t="s">
        <v>12</v>
      </c>
      <c r="B65" s="280">
        <f>SUM(B63:B64)</f>
        <v>0</v>
      </c>
      <c r="C65" s="280">
        <f>SUM(C63:C64)</f>
        <v>0</v>
      </c>
      <c r="D65" s="280">
        <f>SUM(D63:D64)</f>
        <v>0</v>
      </c>
      <c r="E65" s="280">
        <f>SUM(E63:E64)</f>
        <v>0</v>
      </c>
      <c r="F65" s="280">
        <f>SUM(F63:F64)</f>
        <v>0</v>
      </c>
      <c r="G65" s="287">
        <f>F65-E28</f>
        <v>0</v>
      </c>
    </row>
    <row r="66" spans="1:7" hidden="1" x14ac:dyDescent="0.25"/>
    <row r="67" spans="1:7" hidden="1" x14ac:dyDescent="0.25">
      <c r="A67" t="s">
        <v>111</v>
      </c>
    </row>
    <row r="68" spans="1:7" hidden="1" x14ac:dyDescent="0.25">
      <c r="A68" t="s">
        <v>460</v>
      </c>
    </row>
    <row r="69" spans="1:7" hidden="1" x14ac:dyDescent="0.25">
      <c r="A69" s="269"/>
      <c r="B69" s="270" t="s">
        <v>461</v>
      </c>
      <c r="C69" s="270" t="s">
        <v>3</v>
      </c>
      <c r="D69" s="270" t="s">
        <v>462</v>
      </c>
      <c r="E69" s="270" t="s">
        <v>463</v>
      </c>
      <c r="F69" s="281" t="s">
        <v>12</v>
      </c>
    </row>
    <row r="70" spans="1:7" hidden="1" x14ac:dyDescent="0.25">
      <c r="A70" s="269" t="s">
        <v>440</v>
      </c>
      <c r="B70" s="278">
        <f>V28</f>
        <v>0</v>
      </c>
      <c r="C70" s="276">
        <f>B70/'1B. Academic'!$G$2*'1B. Academic'!$F$2</f>
        <v>0</v>
      </c>
      <c r="D70" s="276">
        <f>B70/'1B. Academic'!$G$2</f>
        <v>0</v>
      </c>
      <c r="E70" s="276">
        <f>B70/'1B. Academic'!$G$2*'1B. Academic'!$F$3</f>
        <v>0</v>
      </c>
      <c r="F70" s="282">
        <f>SUM(C70:E70)</f>
        <v>0</v>
      </c>
    </row>
    <row r="71" spans="1:7" ht="15.75" hidden="1" thickBot="1" x14ac:dyDescent="0.3">
      <c r="A71" s="272" t="s">
        <v>466</v>
      </c>
      <c r="B71" s="279">
        <f>W28</f>
        <v>0</v>
      </c>
      <c r="C71" s="276" t="s">
        <v>191</v>
      </c>
      <c r="D71" s="277" t="s">
        <v>191</v>
      </c>
      <c r="E71" s="273"/>
      <c r="F71" s="282">
        <f>B71</f>
        <v>0</v>
      </c>
    </row>
    <row r="72" spans="1:7" hidden="1" x14ac:dyDescent="0.25">
      <c r="A72" s="275" t="s">
        <v>12</v>
      </c>
      <c r="B72" s="280">
        <f>SUM(B70:B71)</f>
        <v>0</v>
      </c>
      <c r="C72" s="280">
        <f>SUM(C70:C71)</f>
        <v>0</v>
      </c>
      <c r="D72" s="280">
        <f>SUM(D70:D71)</f>
        <v>0</v>
      </c>
      <c r="E72" s="280">
        <f>SUM(E70:E71)</f>
        <v>0</v>
      </c>
      <c r="F72" s="280">
        <f>SUM(F70:F71)</f>
        <v>0</v>
      </c>
      <c r="G72" s="287">
        <f>F72-F28</f>
        <v>0</v>
      </c>
    </row>
    <row r="73" spans="1:7" hidden="1" x14ac:dyDescent="0.25"/>
    <row r="74" spans="1:7" hidden="1" x14ac:dyDescent="0.25"/>
    <row r="75" spans="1:7" hidden="1" x14ac:dyDescent="0.25">
      <c r="A75" t="s">
        <v>112</v>
      </c>
    </row>
    <row r="76" spans="1:7" hidden="1" x14ac:dyDescent="0.25">
      <c r="A76" t="s">
        <v>460</v>
      </c>
    </row>
    <row r="77" spans="1:7" hidden="1" x14ac:dyDescent="0.25">
      <c r="A77" s="269"/>
      <c r="B77" s="270" t="s">
        <v>461</v>
      </c>
      <c r="C77" s="270" t="s">
        <v>3</v>
      </c>
      <c r="D77" s="270" t="s">
        <v>462</v>
      </c>
      <c r="E77" s="270" t="s">
        <v>463</v>
      </c>
      <c r="F77" s="281" t="s">
        <v>12</v>
      </c>
    </row>
    <row r="78" spans="1:7" hidden="1" x14ac:dyDescent="0.25">
      <c r="A78" s="269" t="s">
        <v>440</v>
      </c>
      <c r="B78" s="278">
        <f>Y28</f>
        <v>0</v>
      </c>
      <c r="C78" s="276">
        <f>B78/'1B. Academic'!$G$2*'1B. Academic'!$F$2</f>
        <v>0</v>
      </c>
      <c r="D78" s="276">
        <f>B78/'1B. Academic'!$G$2</f>
        <v>0</v>
      </c>
      <c r="E78" s="276">
        <f>B78/'1B. Academic'!$G$2*'1B. Academic'!$F$3</f>
        <v>0</v>
      </c>
      <c r="F78" s="282">
        <f>SUM(C78:E78)</f>
        <v>0</v>
      </c>
    </row>
    <row r="79" spans="1:7" ht="15.75" hidden="1" thickBot="1" x14ac:dyDescent="0.3">
      <c r="A79" s="272" t="s">
        <v>466</v>
      </c>
      <c r="B79" s="279">
        <f>Z28</f>
        <v>0</v>
      </c>
      <c r="C79" s="276" t="s">
        <v>191</v>
      </c>
      <c r="D79" s="277" t="s">
        <v>191</v>
      </c>
      <c r="E79" s="273"/>
      <c r="F79" s="282">
        <f>B79</f>
        <v>0</v>
      </c>
    </row>
    <row r="80" spans="1:7" hidden="1" x14ac:dyDescent="0.25">
      <c r="A80" s="275" t="s">
        <v>12</v>
      </c>
      <c r="B80" s="280">
        <f>SUM(B78:B79)</f>
        <v>0</v>
      </c>
      <c r="C80" s="280">
        <f>SUM(C78:C79)</f>
        <v>0</v>
      </c>
      <c r="D80" s="280">
        <f>SUM(D78:D79)</f>
        <v>0</v>
      </c>
      <c r="E80" s="280">
        <f>SUM(E78:E79)</f>
        <v>0</v>
      </c>
      <c r="F80" s="280">
        <f>SUM(F78:F79)</f>
        <v>0</v>
      </c>
      <c r="G80" s="287">
        <f>F80-G28</f>
        <v>0</v>
      </c>
    </row>
    <row r="81" spans="1:7" hidden="1" x14ac:dyDescent="0.25"/>
    <row r="82" spans="1:7" hidden="1" x14ac:dyDescent="0.25"/>
    <row r="83" spans="1:7" hidden="1" x14ac:dyDescent="0.25">
      <c r="A83" t="s">
        <v>194</v>
      </c>
    </row>
    <row r="84" spans="1:7" hidden="1" x14ac:dyDescent="0.25">
      <c r="A84" t="s">
        <v>460</v>
      </c>
    </row>
    <row r="85" spans="1:7" hidden="1" x14ac:dyDescent="0.25">
      <c r="A85" s="269"/>
      <c r="B85" s="270" t="s">
        <v>461</v>
      </c>
      <c r="C85" s="270" t="s">
        <v>3</v>
      </c>
      <c r="D85" s="270" t="s">
        <v>462</v>
      </c>
      <c r="E85" s="270" t="s">
        <v>463</v>
      </c>
      <c r="F85" s="281" t="s">
        <v>12</v>
      </c>
    </row>
    <row r="86" spans="1:7" hidden="1" x14ac:dyDescent="0.25">
      <c r="A86" s="269" t="s">
        <v>440</v>
      </c>
      <c r="B86" s="278">
        <f>AB28</f>
        <v>0</v>
      </c>
      <c r="C86" s="276">
        <f>B86/'1B. Academic'!$G$2*'1B. Academic'!$F$2</f>
        <v>0</v>
      </c>
      <c r="D86" s="276">
        <f>B86/'1B. Academic'!$G$2</f>
        <v>0</v>
      </c>
      <c r="E86" s="276">
        <f>B86/'1B. Academic'!$G$2*'1B. Academic'!$F$3</f>
        <v>0</v>
      </c>
      <c r="F86" s="282">
        <f>SUM(C86:E86)</f>
        <v>0</v>
      </c>
    </row>
    <row r="87" spans="1:7" ht="15.75" hidden="1" thickBot="1" x14ac:dyDescent="0.3">
      <c r="A87" s="272" t="s">
        <v>466</v>
      </c>
      <c r="B87" s="279">
        <f>AC28</f>
        <v>0</v>
      </c>
      <c r="C87" s="276" t="s">
        <v>191</v>
      </c>
      <c r="D87" s="277" t="s">
        <v>191</v>
      </c>
      <c r="E87" s="273"/>
      <c r="F87" s="282">
        <f>B87</f>
        <v>0</v>
      </c>
    </row>
    <row r="88" spans="1:7" hidden="1" x14ac:dyDescent="0.25">
      <c r="A88" s="275" t="s">
        <v>12</v>
      </c>
      <c r="B88" s="280">
        <f>SUM(B86:B87)</f>
        <v>0</v>
      </c>
      <c r="C88" s="280">
        <f>SUM(C86:C87)</f>
        <v>0</v>
      </c>
      <c r="D88" s="280">
        <f>SUM(D86:D87)</f>
        <v>0</v>
      </c>
      <c r="E88" s="280">
        <f>SUM(E86:E87)</f>
        <v>0</v>
      </c>
      <c r="F88" s="280">
        <f>SUM(F86:F87)</f>
        <v>0</v>
      </c>
      <c r="G88" s="288">
        <f>H28-F88</f>
        <v>0</v>
      </c>
    </row>
    <row r="89" spans="1:7" hidden="1" x14ac:dyDescent="0.25"/>
    <row r="90" spans="1:7" hidden="1" x14ac:dyDescent="0.25"/>
  </sheetData>
  <sheetProtection algorithmName="SHA-512" hashValue="irmcAsY+WjqC44JrGLxvg1m+MSZG/MxKaQP3U+jiAQsI65TOEgPO5UbnB0cdtOOTRY8cFmpAxlkqPY/4wWslwg==" saltValue="QxNlKQ1/IslvrNf9CBkyJQ==" spinCount="100000" sheet="1" objects="1" scenarios="1"/>
  <mergeCells count="11">
    <mergeCell ref="A4:C4"/>
    <mergeCell ref="A8:A11"/>
    <mergeCell ref="A12:A15"/>
    <mergeCell ref="A16:A19"/>
    <mergeCell ref="A20:A23"/>
    <mergeCell ref="A24:A27"/>
    <mergeCell ref="B8:B11"/>
    <mergeCell ref="B12:B15"/>
    <mergeCell ref="B16:B19"/>
    <mergeCell ref="B20:B23"/>
    <mergeCell ref="B24:B27"/>
  </mergeCells>
  <dataValidations count="3">
    <dataValidation allowBlank="1" showInputMessage="1" showErrorMessage="1" promptTitle="Not working full-time? " prompt="This template assumes that your team member is working full-time on the project. If this is not the case, then you need to manually insert the FTE (full time equivalent) per centage in this cell e.g., if only working 2 days per week = 40%." sqref="D38:D42" xr:uid="{69877C3D-EE1E-4428-90F5-5E37449CE6EA}"/>
    <dataValidation type="whole" allowBlank="1" showInputMessage="1" showErrorMessage="1" error="Number of months must be between 0 - 12." sqref="E38:I42" xr:uid="{D894F2EF-D8E2-442B-AD69-4876EC4C922B}">
      <formula1>0</formula1>
      <formula2>12</formula2>
    </dataValidation>
    <dataValidation allowBlank="1" showInputMessage="1" showErrorMessage="1" promptTitle="DO NOT INPUT DATA" prompt="These cells are auto-populated. Do not enter data. " sqref="I8:I32 D28:H32" xr:uid="{6FD26DFA-D576-4446-AC89-829CA0ABA375}"/>
  </dataValidations>
  <pageMargins left="0.70866141732283472" right="0.70866141732283472" top="0.74803149606299213" bottom="0.74803149606299213" header="0.31496062992125984" footer="0.31496062992125984"/>
  <pageSetup scale="47"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E043D-A248-47F8-A55D-24A268FBC976}">
          <x14:formula1>
            <xm:f>'All job positions.'!$A$70:$A$138</xm:f>
          </x14:formula1>
          <xm:sqref>C8 C12 C16 C20 C24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AA18-FAB2-49CE-8924-A83D315CFCD3}">
  <sheetPr>
    <tabColor rgb="FF00B050"/>
    <pageSetUpPr fitToPage="1"/>
  </sheetPr>
  <dimension ref="A1:P90"/>
  <sheetViews>
    <sheetView view="pageBreakPreview" zoomScaleNormal="100" zoomScaleSheetLayoutView="100" workbookViewId="0">
      <selection activeCell="G37" sqref="G37:H41"/>
    </sheetView>
  </sheetViews>
  <sheetFormatPr defaultRowHeight="15" x14ac:dyDescent="0.25"/>
  <cols>
    <col min="1" max="1" width="42" customWidth="1"/>
    <col min="2" max="2" width="63.42578125" customWidth="1"/>
    <col min="3" max="6" width="14" bestFit="1" customWidth="1"/>
    <col min="7" max="7" width="14" customWidth="1"/>
    <col min="8" max="8" width="12.42578125" bestFit="1" customWidth="1"/>
    <col min="9" max="9" width="0" hidden="1" customWidth="1"/>
    <col min="10" max="10" width="18.5703125" hidden="1" customWidth="1"/>
    <col min="11" max="11" width="9.140625" hidden="1" customWidth="1"/>
    <col min="12" max="13" width="0" hidden="1" customWidth="1"/>
  </cols>
  <sheetData>
    <row r="1" spans="1:16" ht="18.75" x14ac:dyDescent="0.3">
      <c r="A1" s="109" t="s">
        <v>413</v>
      </c>
      <c r="B1" s="106"/>
      <c r="C1" s="108"/>
      <c r="D1" s="106"/>
      <c r="E1" s="106"/>
      <c r="F1" s="106"/>
      <c r="G1" s="106"/>
      <c r="H1" s="106"/>
      <c r="J1" s="85" t="s">
        <v>193</v>
      </c>
      <c r="K1" s="85">
        <v>12</v>
      </c>
      <c r="L1" s="1"/>
      <c r="M1">
        <v>12</v>
      </c>
    </row>
    <row r="2" spans="1:16" ht="18.75" x14ac:dyDescent="0.3">
      <c r="A2" s="110" t="s">
        <v>261</v>
      </c>
      <c r="B2" s="106"/>
      <c r="C2" s="108"/>
      <c r="D2" s="106"/>
      <c r="E2" s="106"/>
      <c r="F2" s="106"/>
      <c r="G2" s="106"/>
      <c r="H2" s="106"/>
      <c r="J2" s="85"/>
      <c r="K2" s="85"/>
      <c r="L2" s="1"/>
      <c r="M2">
        <v>12</v>
      </c>
    </row>
    <row r="3" spans="1:16" ht="18.75" x14ac:dyDescent="0.3">
      <c r="A3" s="110" t="s">
        <v>372</v>
      </c>
      <c r="B3" s="106"/>
      <c r="C3" s="108"/>
      <c r="D3" s="106"/>
      <c r="E3" s="106"/>
      <c r="F3" s="106"/>
      <c r="G3" s="106"/>
      <c r="H3" s="106"/>
      <c r="J3" s="85"/>
      <c r="K3" s="85"/>
      <c r="L3" s="1"/>
    </row>
    <row r="4" spans="1:16" ht="36" customHeight="1" thickBot="1" x14ac:dyDescent="0.35">
      <c r="A4" s="467" t="s">
        <v>373</v>
      </c>
      <c r="B4" s="467"/>
      <c r="C4" s="108"/>
      <c r="D4" s="106"/>
      <c r="E4" s="106"/>
      <c r="F4" s="106"/>
      <c r="G4" s="106"/>
      <c r="H4" s="106"/>
      <c r="J4" s="85"/>
      <c r="K4" s="85"/>
      <c r="L4" s="1"/>
    </row>
    <row r="5" spans="1:16" ht="18.75" x14ac:dyDescent="0.3">
      <c r="A5" s="210" t="s">
        <v>389</v>
      </c>
      <c r="B5" s="74"/>
      <c r="C5" s="6" t="s">
        <v>109</v>
      </c>
      <c r="D5" s="6" t="s">
        <v>110</v>
      </c>
      <c r="E5" s="6" t="s">
        <v>111</v>
      </c>
      <c r="F5" s="6" t="s">
        <v>112</v>
      </c>
      <c r="G5" s="6" t="s">
        <v>194</v>
      </c>
      <c r="H5" s="59"/>
      <c r="O5" t="s">
        <v>526</v>
      </c>
      <c r="P5" s="341">
        <v>0.1105</v>
      </c>
    </row>
    <row r="6" spans="1:16" x14ac:dyDescent="0.25">
      <c r="A6" s="55"/>
      <c r="C6" s="101" t="s">
        <v>116</v>
      </c>
      <c r="D6" s="101" t="s">
        <v>117</v>
      </c>
      <c r="E6" s="101" t="s">
        <v>125</v>
      </c>
      <c r="F6" s="101" t="s">
        <v>219</v>
      </c>
      <c r="G6" s="101" t="s">
        <v>351</v>
      </c>
      <c r="H6" s="61" t="s">
        <v>12</v>
      </c>
      <c r="O6" t="s">
        <v>527</v>
      </c>
      <c r="P6" s="4">
        <v>0.2</v>
      </c>
    </row>
    <row r="7" spans="1:16" x14ac:dyDescent="0.25">
      <c r="A7" s="60" t="s">
        <v>390</v>
      </c>
      <c r="B7" s="1" t="s">
        <v>391</v>
      </c>
      <c r="C7" s="3" t="s">
        <v>5</v>
      </c>
      <c r="D7" s="3" t="s">
        <v>5</v>
      </c>
      <c r="E7" s="3" t="s">
        <v>5</v>
      </c>
      <c r="F7" s="3" t="s">
        <v>5</v>
      </c>
      <c r="G7" s="3" t="s">
        <v>5</v>
      </c>
      <c r="H7" s="61" t="s">
        <v>6</v>
      </c>
    </row>
    <row r="8" spans="1:16" x14ac:dyDescent="0.25">
      <c r="A8" s="468" t="s">
        <v>393</v>
      </c>
      <c r="B8" s="169" t="s">
        <v>515</v>
      </c>
      <c r="C8" s="54" t="str">
        <f>IFERROR(VLOOKUP(B8,'1B Salary scales -UCD Admin'!$A$10:$AF$145,6,FALSE)/($M$2)*D37*C37,(" "))</f>
        <v xml:space="preserve"> </v>
      </c>
      <c r="D8" s="54" t="str" cm="1">
        <f t="array" ref="D8">IFERROR(INDEX('1B Salary scales -UCD Admin'!$A$10:$AF$145,MATCH($B8,'1B Salary scales -UCD Admin'!$A$10:$A$145,0)+1,10)/($M$2)*E37*C37,(" "))</f>
        <v xml:space="preserve"> </v>
      </c>
      <c r="E8" s="54" t="str" cm="1">
        <f t="array" ref="E8">IFERROR(INDEX('1B Salary scales -UCD Admin'!$A$10:$AF$145,MATCH($B8,'1B Salary scales -UCD Admin'!$A$10:$A$145,0)+2,14)/($M$2)*F37*C37,(" "))</f>
        <v xml:space="preserve"> </v>
      </c>
      <c r="F8" s="54" t="str" cm="1">
        <f t="array" ref="F8">IFERROR(INDEX('1B Salary scales -UCD Admin'!$A$10:$AF$145,MATCH($B8,'1B Salary scales -UCD Admin'!$A$10:$A$145,0)+3,18)/($M$2)*G37*C37,(" "))</f>
        <v xml:space="preserve"> </v>
      </c>
      <c r="G8" s="54" t="str" cm="1">
        <f t="array" ref="G8">IFERROR(INDEX('1B Salary scales -UCD Admin'!$A$10:$AF$145,MATCH($B8,'1B Salary scales -UCD Admin'!$A$10:$A$145,0)+4,22)/($M$2)*H37*C37,(" "))</f>
        <v xml:space="preserve"> </v>
      </c>
      <c r="H8" s="56">
        <f>SUM(C8:G8)</f>
        <v>0</v>
      </c>
    </row>
    <row r="9" spans="1:16" x14ac:dyDescent="0.25">
      <c r="A9" s="469"/>
      <c r="B9" s="340" t="s">
        <v>522</v>
      </c>
      <c r="C9" s="54" t="str">
        <f>IFERROR(C8*$P$5, " ")</f>
        <v xml:space="preserve"> </v>
      </c>
      <c r="D9" s="54" t="str">
        <f t="shared" ref="D9:G9" si="0">IFERROR(D8*$P$5, " ")</f>
        <v xml:space="preserve"> </v>
      </c>
      <c r="E9" s="54" t="str">
        <f t="shared" si="0"/>
        <v xml:space="preserve"> </v>
      </c>
      <c r="F9" s="54" t="str">
        <f t="shared" si="0"/>
        <v xml:space="preserve"> </v>
      </c>
      <c r="G9" s="54" t="str">
        <f t="shared" si="0"/>
        <v xml:space="preserve"> </v>
      </c>
      <c r="H9" s="56">
        <f t="shared" ref="H9:H11" si="1">SUM(C9:G9)</f>
        <v>0</v>
      </c>
    </row>
    <row r="10" spans="1:16" x14ac:dyDescent="0.25">
      <c r="A10" s="469"/>
      <c r="B10" s="340" t="s">
        <v>523</v>
      </c>
      <c r="C10" s="54" t="str">
        <f>IFERROR(C8*$P$6," ")</f>
        <v xml:space="preserve"> </v>
      </c>
      <c r="D10" s="54" t="str">
        <f t="shared" ref="D10:G10" si="2">IFERROR(D8*$P$6," ")</f>
        <v xml:space="preserve"> </v>
      </c>
      <c r="E10" s="54" t="str">
        <f t="shared" si="2"/>
        <v xml:space="preserve"> </v>
      </c>
      <c r="F10" s="54" t="str">
        <f t="shared" si="2"/>
        <v xml:space="preserve"> </v>
      </c>
      <c r="G10" s="54" t="str">
        <f t="shared" si="2"/>
        <v xml:space="preserve"> </v>
      </c>
      <c r="H10" s="56">
        <f t="shared" si="1"/>
        <v>0</v>
      </c>
    </row>
    <row r="11" spans="1:16" ht="15.75" thickBot="1" x14ac:dyDescent="0.3">
      <c r="A11" s="470"/>
      <c r="B11" s="114" t="s">
        <v>524</v>
      </c>
      <c r="C11" s="54">
        <f>SUM(C8:C10)</f>
        <v>0</v>
      </c>
      <c r="D11" s="54">
        <f t="shared" ref="D11:G11" si="3">SUM(D8:D10)</f>
        <v>0</v>
      </c>
      <c r="E11" s="54">
        <f t="shared" si="3"/>
        <v>0</v>
      </c>
      <c r="F11" s="54">
        <f t="shared" si="3"/>
        <v>0</v>
      </c>
      <c r="G11" s="54">
        <f t="shared" si="3"/>
        <v>0</v>
      </c>
      <c r="H11" s="56">
        <f t="shared" si="1"/>
        <v>0</v>
      </c>
    </row>
    <row r="12" spans="1:16" x14ac:dyDescent="0.25">
      <c r="A12" s="468" t="s">
        <v>394</v>
      </c>
      <c r="B12" s="169" t="s">
        <v>515</v>
      </c>
      <c r="C12" s="54" t="str">
        <f>IFERROR(VLOOKUP(B12,'1B Salary scales -UCD Admin'!$A$10:$AF$145,6,FALSE)/($M$2)*D38*C38,(" "))</f>
        <v xml:space="preserve"> </v>
      </c>
      <c r="D12" s="54" t="str" cm="1">
        <f t="array" ref="D12">IFERROR(INDEX('1B Salary scales -UCD Admin'!$A$10:$AF$145,MATCH($B12,'1B Salary scales -UCD Admin'!$A$10:$A$145,0)+1,10)/($M$2)*E38*C38,(" "))</f>
        <v xml:space="preserve"> </v>
      </c>
      <c r="E12" s="54" t="str" cm="1">
        <f t="array" ref="E12">IFERROR(INDEX('1B Salary scales -UCD Admin'!$A$10:$AF$145,MATCH($B12,'1B Salary scales -UCD Admin'!$A$10:$A$145,0)+2,14)/($M$2)*F38*C38,(" "))</f>
        <v xml:space="preserve"> </v>
      </c>
      <c r="F12" s="54" t="str" cm="1">
        <f t="array" ref="F12">IFERROR(INDEX('1B Salary scales -UCD Admin'!$A$10:$AF$145,MATCH($B12,'1B Salary scales -UCD Admin'!$A$10:$A$145,0)+3,18)/($M$2)*G38*C38,(" "))</f>
        <v xml:space="preserve"> </v>
      </c>
      <c r="G12" s="54" t="str" cm="1">
        <f t="array" ref="G12">IFERROR(INDEX('1B Salary scales -UCD Admin'!$A$10:$AF$145,MATCH($B12,'1B Salary scales -UCD Admin'!$A$10:$A$145,0)+4,22)/($M$2)*H38*C38,(" "))</f>
        <v xml:space="preserve"> </v>
      </c>
      <c r="H12" s="56">
        <f>SUM(C12:G12)</f>
        <v>0</v>
      </c>
    </row>
    <row r="13" spans="1:16" x14ac:dyDescent="0.25">
      <c r="A13" s="469"/>
      <c r="B13" s="340" t="s">
        <v>522</v>
      </c>
      <c r="C13" s="54" t="str">
        <f>IFERROR(C12*$P$5, " ")</f>
        <v xml:space="preserve"> </v>
      </c>
      <c r="D13" s="54" t="str">
        <f t="shared" ref="D13" si="4">IFERROR(D12*$P$5, " ")</f>
        <v xml:space="preserve"> </v>
      </c>
      <c r="E13" s="54" t="str">
        <f t="shared" ref="E13" si="5">IFERROR(E12*$P$5, " ")</f>
        <v xml:space="preserve"> </v>
      </c>
      <c r="F13" s="54" t="str">
        <f t="shared" ref="F13" si="6">IFERROR(F12*$P$5, " ")</f>
        <v xml:space="preserve"> </v>
      </c>
      <c r="G13" s="54" t="str">
        <f t="shared" ref="G13" si="7">IFERROR(G12*$P$5, " ")</f>
        <v xml:space="preserve"> </v>
      </c>
      <c r="H13" s="56">
        <f t="shared" ref="H13:H15" si="8">SUM(C13:G13)</f>
        <v>0</v>
      </c>
    </row>
    <row r="14" spans="1:16" x14ac:dyDescent="0.25">
      <c r="A14" s="469"/>
      <c r="B14" s="340" t="s">
        <v>523</v>
      </c>
      <c r="C14" s="54" t="str">
        <f>IFERROR(C12*$P$6," ")</f>
        <v xml:space="preserve"> </v>
      </c>
      <c r="D14" s="54" t="str">
        <f t="shared" ref="D14:G14" si="9">IFERROR(D12*$P$6," ")</f>
        <v xml:space="preserve"> </v>
      </c>
      <c r="E14" s="54" t="str">
        <f t="shared" si="9"/>
        <v xml:space="preserve"> </v>
      </c>
      <c r="F14" s="54" t="str">
        <f t="shared" si="9"/>
        <v xml:space="preserve"> </v>
      </c>
      <c r="G14" s="54" t="str">
        <f t="shared" si="9"/>
        <v xml:space="preserve"> </v>
      </c>
      <c r="H14" s="56">
        <f t="shared" si="8"/>
        <v>0</v>
      </c>
    </row>
    <row r="15" spans="1:16" ht="15.75" thickBot="1" x14ac:dyDescent="0.3">
      <c r="A15" s="470"/>
      <c r="B15" s="114" t="s">
        <v>524</v>
      </c>
      <c r="C15" s="54">
        <f>SUM(C12:C14)</f>
        <v>0</v>
      </c>
      <c r="D15" s="54">
        <f t="shared" ref="D15" si="10">SUM(D12:D14)</f>
        <v>0</v>
      </c>
      <c r="E15" s="54">
        <f t="shared" ref="E15" si="11">SUM(E12:E14)</f>
        <v>0</v>
      </c>
      <c r="F15" s="54">
        <f t="shared" ref="F15" si="12">SUM(F12:F14)</f>
        <v>0</v>
      </c>
      <c r="G15" s="54">
        <f t="shared" ref="G15" si="13">SUM(G12:G14)</f>
        <v>0</v>
      </c>
      <c r="H15" s="56">
        <f t="shared" si="8"/>
        <v>0</v>
      </c>
    </row>
    <row r="16" spans="1:16" x14ac:dyDescent="0.25">
      <c r="A16" s="468" t="s">
        <v>395</v>
      </c>
      <c r="B16" s="169" t="s">
        <v>515</v>
      </c>
      <c r="C16" s="54" t="str">
        <f>IFERROR(VLOOKUP(B16,'1B Salary scales -UCD Admin'!$A$10:$AF$145,6,FALSE)/($M$2)*D39*C39,(" "))</f>
        <v xml:space="preserve"> </v>
      </c>
      <c r="D16" s="54" t="str" cm="1">
        <f t="array" ref="D16">IFERROR(INDEX('1B Salary scales -UCD Admin'!$A$10:$AF$145,MATCH($B16,'1B Salary scales -UCD Admin'!$A$10:$A$145,0)+1,10)/($M$2)*E39*C39,(" "))</f>
        <v xml:space="preserve"> </v>
      </c>
      <c r="E16" s="54" t="str" cm="1">
        <f t="array" ref="E16">IFERROR(INDEX('1B Salary scales -UCD Admin'!$A$10:$AF$145,MATCH($B16,'1B Salary scales -UCD Admin'!$A$10:$A$145,0)+2,14)/($M$2)*F39*C39,(" "))</f>
        <v xml:space="preserve"> </v>
      </c>
      <c r="F16" s="54" t="str" cm="1">
        <f t="array" ref="F16">IFERROR(INDEX('1B Salary scales -UCD Admin'!$A$10:$AF$145,MATCH($B16,'1B Salary scales -UCD Admin'!$A$10:$A$145,0)+3,18)/($M$2)*G39*C39,(" "))</f>
        <v xml:space="preserve"> </v>
      </c>
      <c r="G16" s="54" t="str" cm="1">
        <f t="array" ref="G16">IFERROR(INDEX('1B Salary scales -UCD Admin'!$A$10:$AF$145,MATCH($B16,'1B Salary scales -UCD Admin'!$A$10:$A$145,0)+4,22)/($M$2)*H39*C39,(" "))</f>
        <v xml:space="preserve"> </v>
      </c>
      <c r="H16" s="56">
        <f>SUM(C16:G16)</f>
        <v>0</v>
      </c>
    </row>
    <row r="17" spans="1:8" x14ac:dyDescent="0.25">
      <c r="A17" s="469"/>
      <c r="B17" s="340" t="s">
        <v>522</v>
      </c>
      <c r="C17" s="54" t="str">
        <f>IFERROR(C16*$P$5, " ")</f>
        <v xml:space="preserve"> </v>
      </c>
      <c r="D17" s="54" t="str">
        <f t="shared" ref="D17" si="14">IFERROR(D16*$P$5, " ")</f>
        <v xml:space="preserve"> </v>
      </c>
      <c r="E17" s="54" t="str">
        <f t="shared" ref="E17" si="15">IFERROR(E16*$P$5, " ")</f>
        <v xml:space="preserve"> </v>
      </c>
      <c r="F17" s="54" t="str">
        <f t="shared" ref="F17" si="16">IFERROR(F16*$P$5, " ")</f>
        <v xml:space="preserve"> </v>
      </c>
      <c r="G17" s="54" t="str">
        <f t="shared" ref="G17" si="17">IFERROR(G16*$P$5, " ")</f>
        <v xml:space="preserve"> </v>
      </c>
      <c r="H17" s="56">
        <f t="shared" ref="H17:H19" si="18">SUM(C17:G17)</f>
        <v>0</v>
      </c>
    </row>
    <row r="18" spans="1:8" x14ac:dyDescent="0.25">
      <c r="A18" s="469"/>
      <c r="B18" s="340" t="s">
        <v>523</v>
      </c>
      <c r="C18" s="54" t="str">
        <f>IFERROR(C16*$P$6," ")</f>
        <v xml:space="preserve"> </v>
      </c>
      <c r="D18" s="54" t="str">
        <f t="shared" ref="D18:G18" si="19">IFERROR(D16*$P$6," ")</f>
        <v xml:space="preserve"> </v>
      </c>
      <c r="E18" s="54" t="str">
        <f t="shared" si="19"/>
        <v xml:space="preserve"> </v>
      </c>
      <c r="F18" s="54" t="str">
        <f t="shared" si="19"/>
        <v xml:space="preserve"> </v>
      </c>
      <c r="G18" s="54" t="str">
        <f t="shared" si="19"/>
        <v xml:space="preserve"> </v>
      </c>
      <c r="H18" s="56">
        <f t="shared" si="18"/>
        <v>0</v>
      </c>
    </row>
    <row r="19" spans="1:8" ht="15.75" thickBot="1" x14ac:dyDescent="0.3">
      <c r="A19" s="470"/>
      <c r="B19" s="114" t="s">
        <v>524</v>
      </c>
      <c r="C19" s="54">
        <f>SUM(C16:C18)</f>
        <v>0</v>
      </c>
      <c r="D19" s="54">
        <f t="shared" ref="D19" si="20">SUM(D16:D18)</f>
        <v>0</v>
      </c>
      <c r="E19" s="54">
        <f t="shared" ref="E19" si="21">SUM(E16:E18)</f>
        <v>0</v>
      </c>
      <c r="F19" s="54">
        <f t="shared" ref="F19" si="22">SUM(F16:F18)</f>
        <v>0</v>
      </c>
      <c r="G19" s="54">
        <f t="shared" ref="G19" si="23">SUM(G16:G18)</f>
        <v>0</v>
      </c>
      <c r="H19" s="56">
        <f t="shared" si="18"/>
        <v>0</v>
      </c>
    </row>
    <row r="20" spans="1:8" x14ac:dyDescent="0.25">
      <c r="A20" s="468" t="s">
        <v>396</v>
      </c>
      <c r="B20" s="169" t="s">
        <v>515</v>
      </c>
      <c r="C20" s="54" t="str">
        <f>IFERROR(VLOOKUP(B20,'1B Salary scales -UCD Admin'!$A$10:$AF$145,6,FALSE)/($M$2)*D40*C40,(" "))</f>
        <v xml:space="preserve"> </v>
      </c>
      <c r="D20" s="54" t="str" cm="1">
        <f t="array" ref="D20">IFERROR(INDEX('1B Salary scales -UCD Admin'!$A$10:$AF$145,MATCH($B20,'1B Salary scales -UCD Admin'!$A$10:$A$145,0)+1,10)/($M$2)*E40*C40,(" "))</f>
        <v xml:space="preserve"> </v>
      </c>
      <c r="E20" s="54" t="str" cm="1">
        <f t="array" ref="E20">IFERROR(INDEX('1B Salary scales -UCD Admin'!$A$10:$AF$145,MATCH($B20,'1B Salary scales -UCD Admin'!$A$10:$A$145,0)+2,14)/($M$2)*F40*C40,(" "))</f>
        <v xml:space="preserve"> </v>
      </c>
      <c r="F20" s="54" t="str" cm="1">
        <f t="array" ref="F20">IFERROR(INDEX('1B Salary scales -UCD Admin'!$A$10:$AF$145,MATCH($B20,'1B Salary scales -UCD Admin'!$A$10:$A$145,0)+3,18)/($M$2)*G40*C40,(" "))</f>
        <v xml:space="preserve"> </v>
      </c>
      <c r="G20" s="54" t="str" cm="1">
        <f t="array" ref="G20">IFERROR(INDEX('1B Salary scales -UCD Admin'!$A$10:$AF$145,MATCH($B20,'1B Salary scales -UCD Admin'!$A$10:$A$145,0)+4,22)/($M$2)*H40*C40,(" "))</f>
        <v xml:space="preserve"> </v>
      </c>
      <c r="H20" s="56">
        <f>SUM(C20:G20)</f>
        <v>0</v>
      </c>
    </row>
    <row r="21" spans="1:8" x14ac:dyDescent="0.25">
      <c r="A21" s="469"/>
      <c r="B21" s="340" t="s">
        <v>522</v>
      </c>
      <c r="C21" s="54" t="str">
        <f>IFERROR(C20*$P$5, " ")</f>
        <v xml:space="preserve"> </v>
      </c>
      <c r="D21" s="54" t="str">
        <f t="shared" ref="D21" si="24">IFERROR(D20*$P$5, " ")</f>
        <v xml:space="preserve"> </v>
      </c>
      <c r="E21" s="54" t="str">
        <f t="shared" ref="E21" si="25">IFERROR(E20*$P$5, " ")</f>
        <v xml:space="preserve"> </v>
      </c>
      <c r="F21" s="54" t="str">
        <f t="shared" ref="F21" si="26">IFERROR(F20*$P$5, " ")</f>
        <v xml:space="preserve"> </v>
      </c>
      <c r="G21" s="54" t="str">
        <f t="shared" ref="G21" si="27">IFERROR(G20*$P$5, " ")</f>
        <v xml:space="preserve"> </v>
      </c>
      <c r="H21" s="56">
        <f t="shared" ref="H21:H23" si="28">SUM(C21:G21)</f>
        <v>0</v>
      </c>
    </row>
    <row r="22" spans="1:8" ht="15.75" customHeight="1" x14ac:dyDescent="0.25">
      <c r="A22" s="469"/>
      <c r="B22" s="340" t="s">
        <v>523</v>
      </c>
      <c r="C22" s="54" t="str">
        <f>IFERROR(C20*$P$6," ")</f>
        <v xml:space="preserve"> </v>
      </c>
      <c r="D22" s="54" t="str">
        <f t="shared" ref="D22:G22" si="29">IFERROR(D20*$P$6," ")</f>
        <v xml:space="preserve"> </v>
      </c>
      <c r="E22" s="54" t="str">
        <f t="shared" si="29"/>
        <v xml:space="preserve"> </v>
      </c>
      <c r="F22" s="54" t="str">
        <f t="shared" si="29"/>
        <v xml:space="preserve"> </v>
      </c>
      <c r="G22" s="54" t="str">
        <f t="shared" si="29"/>
        <v xml:space="preserve"> </v>
      </c>
      <c r="H22" s="56">
        <f t="shared" si="28"/>
        <v>0</v>
      </c>
    </row>
    <row r="23" spans="1:8" ht="15.75" thickBot="1" x14ac:dyDescent="0.3">
      <c r="A23" s="470"/>
      <c r="B23" s="114" t="s">
        <v>524</v>
      </c>
      <c r="C23" s="54">
        <f>SUM(C20:C22)</f>
        <v>0</v>
      </c>
      <c r="D23" s="54">
        <f t="shared" ref="D23" si="30">SUM(D20:D22)</f>
        <v>0</v>
      </c>
      <c r="E23" s="54">
        <f t="shared" ref="E23" si="31">SUM(E20:E22)</f>
        <v>0</v>
      </c>
      <c r="F23" s="54">
        <f t="shared" ref="F23" si="32">SUM(F20:F22)</f>
        <v>0</v>
      </c>
      <c r="G23" s="54">
        <f t="shared" ref="G23" si="33">SUM(G20:G22)</f>
        <v>0</v>
      </c>
      <c r="H23" s="56">
        <f t="shared" si="28"/>
        <v>0</v>
      </c>
    </row>
    <row r="24" spans="1:8" x14ac:dyDescent="0.25">
      <c r="A24" s="468" t="s">
        <v>397</v>
      </c>
      <c r="B24" s="169" t="s">
        <v>515</v>
      </c>
      <c r="C24" s="90" t="str">
        <f>IFERROR(VLOOKUP(B24,'1B Salary scales -UCD Admin'!$A$10:$AF$145,6,FALSE)/($M$2)*D41*C41,(" "))</f>
        <v xml:space="preserve"> </v>
      </c>
      <c r="D24" s="90" t="str" cm="1">
        <f t="array" ref="D24">IFERROR(INDEX('1B Salary scales -UCD Admin'!$A$10:$AF$145,MATCH($B24,'1B Salary scales -UCD Admin'!$A$10:$A$145,0)+1,10)/($M$2)*E41*C41,(" "))</f>
        <v xml:space="preserve"> </v>
      </c>
      <c r="E24" s="90" t="str" cm="1">
        <f t="array" ref="E24">IFERROR(INDEX('1B Salary scales -UCD Admin'!$A$10:$AF$145,MATCH($B24,'1B Salary scales -UCD Admin'!$A$10:$A$145,0)+2,14)/($M$2)*F41*C41,(" "))</f>
        <v xml:space="preserve"> </v>
      </c>
      <c r="F24" s="90" t="str" cm="1">
        <f t="array" ref="F24">IFERROR(INDEX('1B Salary scales -UCD Admin'!$A$10:$AF$145,MATCH($B24,'1B Salary scales -UCD Admin'!$A$10:$A$145,0)+3,18)/($M$2)*G41*C41,(" "))</f>
        <v xml:space="preserve"> </v>
      </c>
      <c r="G24" s="90" t="str" cm="1">
        <f t="array" ref="G24">IFERROR(INDEX('1B Salary scales -UCD Admin'!$A$10:$AF$145,MATCH($B24,'1B Salary scales -UCD Admin'!$A$10:$A$145,0)+4,22)/($M$2)*H41*C41,(" "))</f>
        <v xml:space="preserve"> </v>
      </c>
      <c r="H24" s="140">
        <f>SUM(C24:G24)</f>
        <v>0</v>
      </c>
    </row>
    <row r="25" spans="1:8" x14ac:dyDescent="0.25">
      <c r="A25" s="469"/>
      <c r="B25" s="340" t="s">
        <v>522</v>
      </c>
      <c r="C25" s="54" t="str">
        <f>IFERROR(C24*$P$5, " ")</f>
        <v xml:space="preserve"> </v>
      </c>
      <c r="D25" s="54" t="str">
        <f t="shared" ref="D25" si="34">IFERROR(D24*$P$5, " ")</f>
        <v xml:space="preserve"> </v>
      </c>
      <c r="E25" s="54" t="str">
        <f t="shared" ref="E25" si="35">IFERROR(E24*$P$5, " ")</f>
        <v xml:space="preserve"> </v>
      </c>
      <c r="F25" s="54" t="str">
        <f t="shared" ref="F25" si="36">IFERROR(F24*$P$5, " ")</f>
        <v xml:space="preserve"> </v>
      </c>
      <c r="G25" s="54" t="str">
        <f t="shared" ref="G25" si="37">IFERROR(G24*$P$5, " ")</f>
        <v xml:space="preserve"> </v>
      </c>
      <c r="H25" s="56">
        <f t="shared" ref="H25:H27" si="38">SUM(C25:G25)</f>
        <v>0</v>
      </c>
    </row>
    <row r="26" spans="1:8" x14ac:dyDescent="0.25">
      <c r="A26" s="469"/>
      <c r="B26" s="340" t="s">
        <v>523</v>
      </c>
      <c r="C26" s="54" t="str">
        <f>IFERROR(C24*$P$6," ")</f>
        <v xml:space="preserve"> </v>
      </c>
      <c r="D26" s="54" t="str">
        <f t="shared" ref="D26:G26" si="39">IFERROR(D24*$P$6," ")</f>
        <v xml:space="preserve"> </v>
      </c>
      <c r="E26" s="54" t="str">
        <f t="shared" si="39"/>
        <v xml:space="preserve"> </v>
      </c>
      <c r="F26" s="54" t="str">
        <f t="shared" si="39"/>
        <v xml:space="preserve"> </v>
      </c>
      <c r="G26" s="54" t="str">
        <f t="shared" si="39"/>
        <v xml:space="preserve"> </v>
      </c>
      <c r="H26" s="56">
        <f t="shared" si="38"/>
        <v>0</v>
      </c>
    </row>
    <row r="27" spans="1:8" ht="15.75" thickBot="1" x14ac:dyDescent="0.3">
      <c r="A27" s="470"/>
      <c r="B27" s="114" t="s">
        <v>524</v>
      </c>
      <c r="C27" s="54">
        <f>SUM(C24:C26)</f>
        <v>0</v>
      </c>
      <c r="D27" s="54">
        <f t="shared" ref="D27" si="40">SUM(D24:D26)</f>
        <v>0</v>
      </c>
      <c r="E27" s="54">
        <f t="shared" ref="E27" si="41">SUM(E24:E26)</f>
        <v>0</v>
      </c>
      <c r="F27" s="54">
        <f t="shared" ref="F27" si="42">SUM(F24:F26)</f>
        <v>0</v>
      </c>
      <c r="G27" s="54">
        <f t="shared" ref="G27" si="43">SUM(G24:G26)</f>
        <v>0</v>
      </c>
      <c r="H27" s="56">
        <f t="shared" si="38"/>
        <v>0</v>
      </c>
    </row>
    <row r="28" spans="1:8" ht="15.75" thickBot="1" x14ac:dyDescent="0.3">
      <c r="A28" s="58" t="s">
        <v>392</v>
      </c>
      <c r="B28" s="215"/>
      <c r="C28" s="339">
        <f>SUM(C27,C23,C19,C15,C11)</f>
        <v>0</v>
      </c>
      <c r="D28" s="339">
        <f t="shared" ref="D28:H28" si="44">SUM(D27,D23,D19,D15,D11)</f>
        <v>0</v>
      </c>
      <c r="E28" s="339">
        <f t="shared" si="44"/>
        <v>0</v>
      </c>
      <c r="F28" s="339">
        <f t="shared" si="44"/>
        <v>0</v>
      </c>
      <c r="G28" s="339">
        <f t="shared" si="44"/>
        <v>0</v>
      </c>
      <c r="H28" s="339">
        <f t="shared" si="44"/>
        <v>0</v>
      </c>
    </row>
    <row r="29" spans="1:8" hidden="1" x14ac:dyDescent="0.25">
      <c r="A29" s="85" t="s">
        <v>528</v>
      </c>
      <c r="B29" s="351"/>
      <c r="C29" s="321">
        <f>SUM(C8,C12,C16,C20,C24)</f>
        <v>0</v>
      </c>
      <c r="D29" s="321">
        <f t="shared" ref="D29:H29" si="45">SUM(D8,D12,D16,D20,D24)</f>
        <v>0</v>
      </c>
      <c r="E29" s="321">
        <f t="shared" si="45"/>
        <v>0</v>
      </c>
      <c r="F29" s="321">
        <f t="shared" si="45"/>
        <v>0</v>
      </c>
      <c r="G29" s="321">
        <f t="shared" si="45"/>
        <v>0</v>
      </c>
      <c r="H29" s="321">
        <f t="shared" si="45"/>
        <v>0</v>
      </c>
    </row>
    <row r="30" spans="1:8" hidden="1" x14ac:dyDescent="0.25">
      <c r="A30" s="85" t="s">
        <v>526</v>
      </c>
      <c r="B30" s="351"/>
      <c r="C30" s="321">
        <f>SUM(C9,C13,C17,C21,C25)</f>
        <v>0</v>
      </c>
      <c r="D30" s="321">
        <f t="shared" ref="D30:H30" si="46">SUM(D9,D13,D17,D21,D25)</f>
        <v>0</v>
      </c>
      <c r="E30" s="321">
        <f t="shared" si="46"/>
        <v>0</v>
      </c>
      <c r="F30" s="321">
        <f t="shared" si="46"/>
        <v>0</v>
      </c>
      <c r="G30" s="321">
        <f t="shared" si="46"/>
        <v>0</v>
      </c>
      <c r="H30" s="321">
        <f t="shared" si="46"/>
        <v>0</v>
      </c>
    </row>
    <row r="31" spans="1:8" hidden="1" x14ac:dyDescent="0.25">
      <c r="A31" s="85" t="s">
        <v>446</v>
      </c>
      <c r="B31" s="351"/>
      <c r="C31" s="321">
        <f>SUM(C10,C14,C18,C22,C26)</f>
        <v>0</v>
      </c>
      <c r="D31" s="321">
        <f t="shared" ref="D31:H31" si="47">SUM(D10,D14,D18,D22,D26)</f>
        <v>0</v>
      </c>
      <c r="E31" s="321">
        <f t="shared" si="47"/>
        <v>0</v>
      </c>
      <c r="F31" s="321">
        <f t="shared" si="47"/>
        <v>0</v>
      </c>
      <c r="G31" s="321">
        <f t="shared" si="47"/>
        <v>0</v>
      </c>
      <c r="H31" s="321">
        <f t="shared" si="47"/>
        <v>0</v>
      </c>
    </row>
    <row r="32" spans="1:8" x14ac:dyDescent="0.25">
      <c r="A32" s="106"/>
      <c r="B32" s="106"/>
      <c r="C32" s="106"/>
      <c r="D32" s="106"/>
      <c r="E32" s="106"/>
      <c r="F32" s="106"/>
      <c r="G32" s="106"/>
      <c r="H32" s="106"/>
    </row>
    <row r="33" spans="1:8" ht="15.75" thickBot="1" x14ac:dyDescent="0.3">
      <c r="A33" s="107"/>
      <c r="B33" s="106"/>
      <c r="C33" s="106"/>
      <c r="D33" s="106"/>
      <c r="E33" s="106"/>
      <c r="F33" s="106"/>
      <c r="G33" s="106"/>
      <c r="H33" s="106"/>
    </row>
    <row r="34" spans="1:8" ht="18.75" x14ac:dyDescent="0.3">
      <c r="B34" s="211" t="s">
        <v>259</v>
      </c>
      <c r="C34" s="74"/>
      <c r="D34" s="86" t="s">
        <v>109</v>
      </c>
      <c r="E34" s="86" t="s">
        <v>110</v>
      </c>
      <c r="F34" s="86" t="s">
        <v>111</v>
      </c>
      <c r="G34" s="86" t="s">
        <v>112</v>
      </c>
      <c r="H34" s="66" t="s">
        <v>194</v>
      </c>
    </row>
    <row r="35" spans="1:8" x14ac:dyDescent="0.25">
      <c r="B35" s="87"/>
      <c r="D35" s="88" t="str">
        <f>C6</f>
        <v>2023/2024</v>
      </c>
      <c r="E35" s="88" t="s">
        <v>116</v>
      </c>
      <c r="F35" s="88" t="s">
        <v>117</v>
      </c>
      <c r="G35" s="88" t="s">
        <v>125</v>
      </c>
      <c r="H35" s="89" t="s">
        <v>219</v>
      </c>
    </row>
    <row r="36" spans="1:8" ht="23.25" customHeight="1" thickBot="1" x14ac:dyDescent="0.3">
      <c r="B36" s="103" t="s">
        <v>258</v>
      </c>
      <c r="C36" s="53" t="s">
        <v>250</v>
      </c>
      <c r="D36" s="104" t="s">
        <v>192</v>
      </c>
      <c r="E36" s="104" t="s">
        <v>192</v>
      </c>
      <c r="F36" s="104" t="s">
        <v>192</v>
      </c>
      <c r="G36" s="104" t="s">
        <v>192</v>
      </c>
      <c r="H36" s="105" t="s">
        <v>192</v>
      </c>
    </row>
    <row r="37" spans="1:8" x14ac:dyDescent="0.25">
      <c r="B37" s="55" t="str">
        <f>A8</f>
        <v>Admin member 1</v>
      </c>
      <c r="C37" s="212">
        <v>1</v>
      </c>
      <c r="D37" s="213">
        <v>12</v>
      </c>
      <c r="E37" s="213">
        <v>12</v>
      </c>
      <c r="F37" s="213">
        <v>12</v>
      </c>
      <c r="G37" s="383"/>
      <c r="H37" s="384"/>
    </row>
    <row r="38" spans="1:8" x14ac:dyDescent="0.25">
      <c r="B38" s="55" t="str">
        <f>A12</f>
        <v>Admin member 2</v>
      </c>
      <c r="C38" s="167">
        <v>1</v>
      </c>
      <c r="D38" s="213">
        <v>12</v>
      </c>
      <c r="E38" s="213">
        <v>12</v>
      </c>
      <c r="F38" s="213">
        <v>12</v>
      </c>
      <c r="G38" s="383"/>
      <c r="H38" s="384"/>
    </row>
    <row r="39" spans="1:8" x14ac:dyDescent="0.25">
      <c r="B39" s="55" t="str">
        <f>A16</f>
        <v>Admin member 3</v>
      </c>
      <c r="C39" s="167">
        <v>1</v>
      </c>
      <c r="D39" s="213">
        <v>12</v>
      </c>
      <c r="E39" s="213">
        <v>12</v>
      </c>
      <c r="F39" s="213">
        <v>12</v>
      </c>
      <c r="G39" s="383"/>
      <c r="H39" s="384"/>
    </row>
    <row r="40" spans="1:8" x14ac:dyDescent="0.25">
      <c r="B40" s="55" t="str">
        <f>A20</f>
        <v>Admin member 4</v>
      </c>
      <c r="C40" s="167">
        <v>1</v>
      </c>
      <c r="D40" s="213">
        <v>12</v>
      </c>
      <c r="E40" s="213">
        <v>12</v>
      </c>
      <c r="F40" s="213">
        <v>12</v>
      </c>
      <c r="G40" s="383"/>
      <c r="H40" s="384"/>
    </row>
    <row r="41" spans="1:8" ht="15.75" thickBot="1" x14ac:dyDescent="0.3">
      <c r="B41" s="67" t="str">
        <f>A24</f>
        <v>Admin member 5</v>
      </c>
      <c r="C41" s="168">
        <v>1</v>
      </c>
      <c r="D41" s="214">
        <v>12</v>
      </c>
      <c r="E41" s="214">
        <v>12</v>
      </c>
      <c r="F41" s="214">
        <v>12</v>
      </c>
      <c r="G41" s="385"/>
      <c r="H41" s="386"/>
    </row>
    <row r="42" spans="1:8" x14ac:dyDescent="0.25">
      <c r="B42" s="106"/>
      <c r="C42" s="106"/>
      <c r="D42" s="106"/>
      <c r="E42" s="106"/>
      <c r="F42" s="106"/>
      <c r="G42" s="106"/>
      <c r="H42" s="106"/>
    </row>
    <row r="43" spans="1:8" x14ac:dyDescent="0.25">
      <c r="B43" s="106"/>
      <c r="C43" s="106"/>
      <c r="D43" s="106"/>
      <c r="E43" s="106"/>
      <c r="F43" s="106"/>
      <c r="G43" s="106"/>
      <c r="H43" s="106"/>
    </row>
    <row r="44" spans="1:8" x14ac:dyDescent="0.25">
      <c r="B44" s="106"/>
      <c r="C44" s="106"/>
      <c r="D44" s="106"/>
      <c r="E44" s="106"/>
      <c r="F44" s="106"/>
      <c r="G44" s="106"/>
      <c r="H44" s="106"/>
    </row>
    <row r="45" spans="1:8" x14ac:dyDescent="0.25">
      <c r="B45" s="106"/>
      <c r="C45" s="106"/>
      <c r="D45" s="106"/>
      <c r="E45" s="106"/>
      <c r="F45" s="106"/>
      <c r="G45" s="106"/>
      <c r="H45" s="106"/>
    </row>
    <row r="46" spans="1:8" ht="30.75" customHeight="1" x14ac:dyDescent="0.25">
      <c r="B46" s="106"/>
      <c r="C46" s="106"/>
      <c r="D46" s="106"/>
      <c r="E46" s="106"/>
      <c r="F46" s="106"/>
      <c r="G46" s="106"/>
      <c r="H46" s="106"/>
    </row>
    <row r="47" spans="1:8" ht="39.75" customHeight="1" x14ac:dyDescent="0.25">
      <c r="B47" s="106"/>
      <c r="C47" s="106"/>
      <c r="D47" s="106"/>
      <c r="E47" s="106"/>
      <c r="F47" s="106"/>
      <c r="G47" s="106"/>
      <c r="H47" s="106"/>
    </row>
    <row r="48" spans="1:8" ht="38.25" customHeight="1" x14ac:dyDescent="0.25">
      <c r="B48" s="106"/>
      <c r="C48" s="106"/>
      <c r="D48" s="106"/>
      <c r="E48" s="106"/>
      <c r="F48" s="106"/>
      <c r="G48" s="106"/>
      <c r="H48" s="106"/>
    </row>
    <row r="49" spans="1:8" ht="0.75" customHeight="1" x14ac:dyDescent="0.25">
      <c r="B49" s="106"/>
      <c r="C49" s="106"/>
      <c r="D49" s="106"/>
      <c r="E49" s="106"/>
      <c r="F49" s="106"/>
      <c r="G49" s="106"/>
      <c r="H49" s="106"/>
    </row>
    <row r="50" spans="1:8" ht="3" customHeight="1" x14ac:dyDescent="0.25">
      <c r="B50" s="106"/>
      <c r="C50" s="106"/>
      <c r="D50" s="106"/>
      <c r="E50" s="106"/>
      <c r="F50" s="106"/>
      <c r="G50" s="106"/>
      <c r="H50" s="106"/>
    </row>
    <row r="51" spans="1:8" ht="1.5" customHeight="1" x14ac:dyDescent="0.25"/>
    <row r="53" spans="1:8" hidden="1" x14ac:dyDescent="0.25">
      <c r="A53" s="115"/>
    </row>
    <row r="54" spans="1:8" hidden="1" x14ac:dyDescent="0.25">
      <c r="A54" t="s">
        <v>109</v>
      </c>
    </row>
    <row r="55" spans="1:8" hidden="1" x14ac:dyDescent="0.25">
      <c r="A55" t="s">
        <v>460</v>
      </c>
    </row>
    <row r="56" spans="1:8" hidden="1" x14ac:dyDescent="0.25">
      <c r="A56" s="269"/>
      <c r="B56" s="270" t="s">
        <v>461</v>
      </c>
      <c r="C56" s="270" t="s">
        <v>3</v>
      </c>
      <c r="D56" s="270" t="s">
        <v>462</v>
      </c>
      <c r="E56" s="270" t="s">
        <v>463</v>
      </c>
      <c r="F56" s="281" t="s">
        <v>12</v>
      </c>
    </row>
    <row r="57" spans="1:8" hidden="1" x14ac:dyDescent="0.25">
      <c r="A57" s="269" t="s">
        <v>467</v>
      </c>
      <c r="B57" s="278">
        <f>C28</f>
        <v>0</v>
      </c>
      <c r="C57" s="276">
        <f>B57/'1B Salary scales -UCD Admin'!$J$2*'1B Salary scales -UCD Admin'!$F$2</f>
        <v>0</v>
      </c>
      <c r="D57" s="276">
        <f>B57/'1B Salary scales -UCD Admin'!$J$2</f>
        <v>0</v>
      </c>
      <c r="E57" s="276">
        <f>B57/'1B Salary scales -UCD Admin'!$J$2*'1B Salary scales -UCD Admin'!$F$3</f>
        <v>0</v>
      </c>
      <c r="F57" s="282">
        <f>SUM(C57:E57)</f>
        <v>0</v>
      </c>
    </row>
    <row r="58" spans="1:8" ht="15.75" hidden="1" thickBot="1" x14ac:dyDescent="0.3">
      <c r="A58" s="272" t="s">
        <v>191</v>
      </c>
      <c r="B58" s="279">
        <f>Q33</f>
        <v>0</v>
      </c>
      <c r="C58" s="276" t="s">
        <v>191</v>
      </c>
      <c r="D58" s="277" t="s">
        <v>191</v>
      </c>
      <c r="E58" s="273"/>
      <c r="F58" s="282">
        <f>B58</f>
        <v>0</v>
      </c>
    </row>
    <row r="59" spans="1:8" hidden="1" x14ac:dyDescent="0.25">
      <c r="A59" s="275" t="s">
        <v>12</v>
      </c>
      <c r="B59" s="280">
        <f>SUM(B57:B58)</f>
        <v>0</v>
      </c>
      <c r="C59" s="280">
        <f>SUM(C57:C58)</f>
        <v>0</v>
      </c>
      <c r="D59" s="280">
        <f>SUM(D57:D58)</f>
        <v>0</v>
      </c>
      <c r="E59" s="280">
        <f>SUM(E57:E58)</f>
        <v>0</v>
      </c>
      <c r="F59" s="280">
        <f>SUM(F57:F58)</f>
        <v>0</v>
      </c>
    </row>
    <row r="60" spans="1:8" hidden="1" x14ac:dyDescent="0.25">
      <c r="A60" s="268"/>
      <c r="B60" s="268"/>
      <c r="C60" s="268"/>
      <c r="D60" s="268"/>
      <c r="E60" s="268"/>
      <c r="F60" s="268"/>
    </row>
    <row r="61" spans="1:8" hidden="1" x14ac:dyDescent="0.25">
      <c r="A61" t="s">
        <v>110</v>
      </c>
    </row>
    <row r="62" spans="1:8" hidden="1" x14ac:dyDescent="0.25">
      <c r="A62" t="s">
        <v>460</v>
      </c>
    </row>
    <row r="63" spans="1:8" hidden="1" x14ac:dyDescent="0.25">
      <c r="A63" s="269"/>
      <c r="B63" s="270" t="s">
        <v>461</v>
      </c>
      <c r="C63" s="270" t="s">
        <v>3</v>
      </c>
      <c r="D63" s="270" t="s">
        <v>462</v>
      </c>
      <c r="E63" s="270" t="s">
        <v>463</v>
      </c>
      <c r="F63" s="281" t="s">
        <v>12</v>
      </c>
    </row>
    <row r="64" spans="1:8" hidden="1" x14ac:dyDescent="0.25">
      <c r="A64" s="269" t="s">
        <v>468</v>
      </c>
      <c r="B64" s="278">
        <f>D28</f>
        <v>0</v>
      </c>
      <c r="C64" s="276">
        <f>B64/'1B Salary scales -UCD Admin'!$J$2*'1B Salary scales -UCD Admin'!$F$2</f>
        <v>0</v>
      </c>
      <c r="D64" s="276">
        <f>B64/'1B Salary scales -UCD Admin'!$J$2</f>
        <v>0</v>
      </c>
      <c r="E64" s="276">
        <f>B64/'1B Salary scales -UCD Admin'!$J$2*'1B Salary scales -UCD Admin'!$F$3</f>
        <v>0</v>
      </c>
      <c r="F64" s="282">
        <f>SUM(C64:E64)</f>
        <v>0</v>
      </c>
    </row>
    <row r="65" spans="1:6" ht="15.75" hidden="1" thickBot="1" x14ac:dyDescent="0.3">
      <c r="A65" s="272" t="s">
        <v>191</v>
      </c>
      <c r="B65" s="279">
        <f>T33</f>
        <v>0</v>
      </c>
      <c r="C65" s="276" t="s">
        <v>191</v>
      </c>
      <c r="D65" s="277" t="s">
        <v>191</v>
      </c>
      <c r="E65" s="273"/>
      <c r="F65" s="282">
        <f>B65</f>
        <v>0</v>
      </c>
    </row>
    <row r="66" spans="1:6" hidden="1" x14ac:dyDescent="0.25">
      <c r="A66" s="275" t="s">
        <v>12</v>
      </c>
      <c r="B66" s="280">
        <f>SUM(B64:B65)</f>
        <v>0</v>
      </c>
      <c r="C66" s="280">
        <f>SUM(C64:C65)</f>
        <v>0</v>
      </c>
      <c r="D66" s="280">
        <f>SUM(D64:D65)</f>
        <v>0</v>
      </c>
      <c r="E66" s="280">
        <f>SUM(E64:E65)</f>
        <v>0</v>
      </c>
      <c r="F66" s="280">
        <f>SUM(F64:F65)</f>
        <v>0</v>
      </c>
    </row>
    <row r="67" spans="1:6" hidden="1" x14ac:dyDescent="0.25"/>
    <row r="68" spans="1:6" hidden="1" x14ac:dyDescent="0.25">
      <c r="A68" t="s">
        <v>111</v>
      </c>
    </row>
    <row r="69" spans="1:6" hidden="1" x14ac:dyDescent="0.25">
      <c r="A69" t="s">
        <v>460</v>
      </c>
    </row>
    <row r="70" spans="1:6" hidden="1" x14ac:dyDescent="0.25">
      <c r="A70" s="269"/>
      <c r="B70" s="270" t="s">
        <v>461</v>
      </c>
      <c r="C70" s="270" t="s">
        <v>3</v>
      </c>
      <c r="D70" s="270" t="s">
        <v>462</v>
      </c>
      <c r="E70" s="270" t="s">
        <v>463</v>
      </c>
      <c r="F70" s="281" t="s">
        <v>12</v>
      </c>
    </row>
    <row r="71" spans="1:6" hidden="1" x14ac:dyDescent="0.25">
      <c r="A71" s="269" t="s">
        <v>468</v>
      </c>
      <c r="B71" s="278">
        <f>E28</f>
        <v>0</v>
      </c>
      <c r="C71" s="276">
        <f>B71/'1B Salary scales -UCD Admin'!$J$2*'1B Salary scales -UCD Admin'!$F$2</f>
        <v>0</v>
      </c>
      <c r="D71" s="276">
        <f>B71/'1B Salary scales -UCD Admin'!$J$2</f>
        <v>0</v>
      </c>
      <c r="E71" s="276">
        <f>B71/'1B Salary scales -UCD Admin'!$J$2*'1B Salary scales -UCD Admin'!$F$3</f>
        <v>0</v>
      </c>
      <c r="F71" s="282">
        <f>SUM(C71:E71)</f>
        <v>0</v>
      </c>
    </row>
    <row r="72" spans="1:6" ht="15.75" hidden="1" thickBot="1" x14ac:dyDescent="0.3">
      <c r="A72" s="272" t="s">
        <v>191</v>
      </c>
      <c r="B72" s="279">
        <f>W33</f>
        <v>0</v>
      </c>
      <c r="C72" s="276" t="s">
        <v>191</v>
      </c>
      <c r="D72" s="277" t="s">
        <v>191</v>
      </c>
      <c r="E72" s="273"/>
      <c r="F72" s="282">
        <f>B72</f>
        <v>0</v>
      </c>
    </row>
    <row r="73" spans="1:6" hidden="1" x14ac:dyDescent="0.25">
      <c r="A73" s="275" t="s">
        <v>12</v>
      </c>
      <c r="B73" s="280">
        <f>SUM(B71:B72)</f>
        <v>0</v>
      </c>
      <c r="C73" s="280">
        <f>SUM(C71:C72)</f>
        <v>0</v>
      </c>
      <c r="D73" s="280">
        <f>SUM(D71:D72)</f>
        <v>0</v>
      </c>
      <c r="E73" s="280">
        <f>SUM(E71:E72)</f>
        <v>0</v>
      </c>
      <c r="F73" s="280">
        <f>SUM(F71:F72)</f>
        <v>0</v>
      </c>
    </row>
    <row r="74" spans="1:6" hidden="1" x14ac:dyDescent="0.25"/>
    <row r="75" spans="1:6" hidden="1" x14ac:dyDescent="0.25"/>
    <row r="76" spans="1:6" hidden="1" x14ac:dyDescent="0.25">
      <c r="A76" t="s">
        <v>112</v>
      </c>
    </row>
    <row r="77" spans="1:6" hidden="1" x14ac:dyDescent="0.25">
      <c r="A77" t="s">
        <v>460</v>
      </c>
    </row>
    <row r="78" spans="1:6" hidden="1" x14ac:dyDescent="0.25">
      <c r="A78" s="269"/>
      <c r="B78" s="270" t="s">
        <v>461</v>
      </c>
      <c r="C78" s="270" t="s">
        <v>3</v>
      </c>
      <c r="D78" s="270" t="s">
        <v>462</v>
      </c>
      <c r="E78" s="270" t="s">
        <v>463</v>
      </c>
      <c r="F78" s="281" t="s">
        <v>12</v>
      </c>
    </row>
    <row r="79" spans="1:6" hidden="1" x14ac:dyDescent="0.25">
      <c r="A79" s="269" t="s">
        <v>468</v>
      </c>
      <c r="B79" s="278">
        <f>F28</f>
        <v>0</v>
      </c>
      <c r="C79" s="276">
        <f>B79/'1B Salary scales -UCD Admin'!$J$2*'1B Salary scales -UCD Admin'!$F$2</f>
        <v>0</v>
      </c>
      <c r="D79" s="276">
        <f>B79/'1B Salary scales -UCD Admin'!$J$2</f>
        <v>0</v>
      </c>
      <c r="E79" s="276">
        <f>B79/'1B Salary scales -UCD Admin'!$J$2*'1B Salary scales -UCD Admin'!$F$3</f>
        <v>0</v>
      </c>
      <c r="F79" s="282">
        <f>SUM(C79:E79)</f>
        <v>0</v>
      </c>
    </row>
    <row r="80" spans="1:6" ht="15.75" hidden="1" thickBot="1" x14ac:dyDescent="0.3">
      <c r="A80" s="272" t="s">
        <v>191</v>
      </c>
      <c r="B80" s="279">
        <f>Z33</f>
        <v>0</v>
      </c>
      <c r="C80" s="276" t="s">
        <v>191</v>
      </c>
      <c r="D80" s="277" t="s">
        <v>191</v>
      </c>
      <c r="E80" s="273"/>
      <c r="F80" s="282">
        <f>B80</f>
        <v>0</v>
      </c>
    </row>
    <row r="81" spans="1:6" hidden="1" x14ac:dyDescent="0.25">
      <c r="A81" s="275" t="s">
        <v>12</v>
      </c>
      <c r="B81" s="280">
        <f>SUM(B79:B80)</f>
        <v>0</v>
      </c>
      <c r="C81" s="280">
        <f>SUM(C79:C80)</f>
        <v>0</v>
      </c>
      <c r="D81" s="280">
        <f>SUM(D79:D80)</f>
        <v>0</v>
      </c>
      <c r="E81" s="280">
        <f>SUM(E79:E80)</f>
        <v>0</v>
      </c>
      <c r="F81" s="280">
        <f>SUM(F79:F80)</f>
        <v>0</v>
      </c>
    </row>
    <row r="82" spans="1:6" hidden="1" x14ac:dyDescent="0.25"/>
    <row r="83" spans="1:6" hidden="1" x14ac:dyDescent="0.25"/>
    <row r="84" spans="1:6" hidden="1" x14ac:dyDescent="0.25">
      <c r="A84" t="s">
        <v>194</v>
      </c>
    </row>
    <row r="85" spans="1:6" hidden="1" x14ac:dyDescent="0.25">
      <c r="A85" t="s">
        <v>460</v>
      </c>
    </row>
    <row r="86" spans="1:6" hidden="1" x14ac:dyDescent="0.25">
      <c r="A86" s="269"/>
      <c r="B86" s="270" t="s">
        <v>461</v>
      </c>
      <c r="C86" s="270" t="s">
        <v>3</v>
      </c>
      <c r="D86" s="270" t="s">
        <v>462</v>
      </c>
      <c r="E86" s="270" t="s">
        <v>463</v>
      </c>
      <c r="F86" s="281" t="s">
        <v>12</v>
      </c>
    </row>
    <row r="87" spans="1:6" hidden="1" x14ac:dyDescent="0.25">
      <c r="A87" s="269" t="s">
        <v>468</v>
      </c>
      <c r="B87" s="278">
        <f>G28</f>
        <v>0</v>
      </c>
      <c r="C87" s="276">
        <f>B87/'1B Salary scales -UCD Admin'!$J$2*'1B Salary scales -UCD Admin'!$F$2</f>
        <v>0</v>
      </c>
      <c r="D87" s="276">
        <f>B87/'1B Salary scales -UCD Admin'!$J$2</f>
        <v>0</v>
      </c>
      <c r="E87" s="276">
        <f>B87/'1B Salary scales -UCD Admin'!$J$2*'1B Salary scales -UCD Admin'!$F$3</f>
        <v>0</v>
      </c>
      <c r="F87" s="282">
        <f>SUM(C87:E87)</f>
        <v>0</v>
      </c>
    </row>
    <row r="88" spans="1:6" ht="15.75" hidden="1" thickBot="1" x14ac:dyDescent="0.3">
      <c r="A88" s="272" t="s">
        <v>191</v>
      </c>
      <c r="B88" s="279">
        <f>AC33</f>
        <v>0</v>
      </c>
      <c r="C88" s="276" t="s">
        <v>191</v>
      </c>
      <c r="D88" s="277" t="s">
        <v>191</v>
      </c>
      <c r="E88" s="273"/>
      <c r="F88" s="282">
        <f>B88</f>
        <v>0</v>
      </c>
    </row>
    <row r="89" spans="1:6" hidden="1" x14ac:dyDescent="0.25">
      <c r="A89" s="275" t="s">
        <v>12</v>
      </c>
      <c r="B89" s="280">
        <f>SUM(B87:B88)</f>
        <v>0</v>
      </c>
      <c r="C89" s="280">
        <f>SUM(C87:C88)</f>
        <v>0</v>
      </c>
      <c r="D89" s="280">
        <f>SUM(D87:D88)</f>
        <v>0</v>
      </c>
      <c r="E89" s="280">
        <f>SUM(E87:E88)</f>
        <v>0</v>
      </c>
      <c r="F89" s="280">
        <f>SUM(F87:F88)</f>
        <v>0</v>
      </c>
    </row>
    <row r="90" spans="1:6" hidden="1" x14ac:dyDescent="0.25"/>
  </sheetData>
  <sheetProtection algorithmName="SHA-512" hashValue="WqzGnHE4whN5lSO8V/eFHzUlkKuxvooVPHIYTUqA/G9yZv2pw+SF9EyJVv1eRmC7mPDfNHofQ9C+9BeNOt6Z7Q==" saltValue="F+sKnKY/GFJefnQgKOEbmw==" spinCount="100000" sheet="1" objects="1" scenarios="1"/>
  <mergeCells count="6">
    <mergeCell ref="A24:A27"/>
    <mergeCell ref="A4:B4"/>
    <mergeCell ref="A8:A11"/>
    <mergeCell ref="A12:A15"/>
    <mergeCell ref="A16:A19"/>
    <mergeCell ref="A20:A23"/>
  </mergeCells>
  <dataValidations count="3">
    <dataValidation allowBlank="1" showInputMessage="1" showErrorMessage="1" promptTitle="DO NOT INPUT DATA" prompt="These cells are auto-populated. Do not enter data. " sqref="H8:H31 C28:G31" xr:uid="{0648390A-43D5-4267-8C86-14B34ABB5AFD}"/>
    <dataValidation type="whole" allowBlank="1" showInputMessage="1" showErrorMessage="1" error="Number of months must be between 0 - 12." sqref="D37:H41" xr:uid="{463DD8F3-BE85-438D-ADBE-3ECD83FC121D}">
      <formula1>0</formula1>
      <formula2>12</formula2>
    </dataValidation>
    <dataValidation allowBlank="1" showInputMessage="1" showErrorMessage="1" promptTitle="Not working full-time? " prompt="This template assumes that your team member is working full-time on the project. If this is not the case, then you need to manually insert the FTE (full time equivalent) per centage in this cell e.g., if only working 2 days per week = 40%." sqref="C37:C41" xr:uid="{74F6D8C8-F4A5-4607-A285-7DFCFE21E6E3}"/>
  </dataValidations>
  <pageMargins left="0.70866141732283472" right="0.70866141732283472" top="0.74803149606299213" bottom="0.74803149606299213" header="0.31496062992125984" footer="0.31496062992125984"/>
  <pageSetup scale="48"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F600184-9393-4E1B-8BC5-5F6A4B874270}">
          <x14:formula1>
            <xm:f>'All job positions.'!$A$144:$A$212</xm:f>
          </x14:formula1>
          <xm:sqref>B8 B12 B16 B20 B24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EA8A-E5F8-4AD7-BA4E-136A87F99738}">
  <sheetPr>
    <tabColor rgb="FF00B050"/>
    <pageSetUpPr fitToPage="1"/>
  </sheetPr>
  <dimension ref="A1:H9"/>
  <sheetViews>
    <sheetView view="pageBreakPreview" zoomScaleNormal="100" zoomScaleSheetLayoutView="100" workbookViewId="0">
      <selection activeCell="B5" sqref="B5"/>
    </sheetView>
  </sheetViews>
  <sheetFormatPr defaultRowHeight="15" x14ac:dyDescent="0.25"/>
  <cols>
    <col min="1" max="1" width="33.5703125" customWidth="1"/>
    <col min="2" max="2" width="41.42578125" customWidth="1"/>
    <col min="3" max="6" width="14" bestFit="1" customWidth="1"/>
    <col min="7" max="7" width="14" customWidth="1"/>
    <col min="8" max="8" width="12.42578125" bestFit="1" customWidth="1"/>
  </cols>
  <sheetData>
    <row r="1" spans="1:8" s="227" customFormat="1" ht="18.75" x14ac:dyDescent="0.3">
      <c r="A1" s="228" t="s">
        <v>418</v>
      </c>
      <c r="B1" s="229"/>
      <c r="C1" s="230"/>
      <c r="D1" s="229"/>
      <c r="E1" s="229"/>
      <c r="F1" s="229"/>
      <c r="G1" s="229"/>
      <c r="H1" s="229"/>
    </row>
    <row r="2" spans="1:8" s="227" customFormat="1" ht="18.75" x14ac:dyDescent="0.3">
      <c r="A2" s="231"/>
      <c r="B2" s="229"/>
      <c r="C2" s="230"/>
      <c r="D2" s="229"/>
      <c r="E2" s="229"/>
      <c r="F2" s="229"/>
      <c r="G2" s="229"/>
      <c r="H2" s="229"/>
    </row>
    <row r="3" spans="1:8" s="227" customFormat="1" ht="18.75" x14ac:dyDescent="0.3">
      <c r="A3" s="236" t="s">
        <v>428</v>
      </c>
      <c r="B3" s="228" t="s">
        <v>419</v>
      </c>
      <c r="C3" s="230"/>
      <c r="D3" s="229"/>
      <c r="E3" s="229"/>
      <c r="F3" s="229"/>
      <c r="G3" s="229"/>
      <c r="H3" s="229"/>
    </row>
    <row r="4" spans="1:8" s="227" customFormat="1" ht="18.75" x14ac:dyDescent="0.3">
      <c r="A4" s="228"/>
      <c r="B4" s="379" t="s">
        <v>521</v>
      </c>
      <c r="C4" s="229"/>
      <c r="D4" s="229"/>
      <c r="E4" s="229"/>
      <c r="F4" s="229"/>
      <c r="G4" s="229"/>
      <c r="H4" s="229"/>
    </row>
    <row r="5" spans="1:8" s="227" customFormat="1" ht="18.75" x14ac:dyDescent="0.3">
      <c r="A5" s="228" t="s">
        <v>424</v>
      </c>
      <c r="B5" s="380">
        <v>0.3</v>
      </c>
      <c r="C5" s="229"/>
      <c r="D5" s="229"/>
      <c r="E5" s="229"/>
      <c r="F5" s="229"/>
      <c r="G5" s="229"/>
      <c r="H5" s="229"/>
    </row>
    <row r="6" spans="1:8" s="227" customFormat="1" x14ac:dyDescent="0.25">
      <c r="A6" s="232"/>
      <c r="B6" s="237"/>
      <c r="C6" s="229"/>
      <c r="D6" s="229"/>
      <c r="E6" s="229"/>
      <c r="F6" s="229"/>
      <c r="G6" s="229"/>
      <c r="H6" s="229"/>
    </row>
    <row r="7" spans="1:8" s="227" customFormat="1" x14ac:dyDescent="0.25">
      <c r="A7" s="232"/>
      <c r="B7" s="229"/>
      <c r="C7" s="229"/>
      <c r="D7" s="229"/>
      <c r="E7" s="229"/>
      <c r="F7" s="229"/>
      <c r="G7" s="229"/>
      <c r="H7" s="229"/>
    </row>
    <row r="8" spans="1:8" s="227" customFormat="1" x14ac:dyDescent="0.25">
      <c r="A8" s="232"/>
      <c r="B8" s="229"/>
      <c r="C8" s="229"/>
      <c r="D8" s="229"/>
      <c r="E8" s="229"/>
      <c r="F8" s="229"/>
      <c r="G8" s="229"/>
      <c r="H8" s="229"/>
    </row>
    <row r="9" spans="1:8" s="227" customFormat="1" x14ac:dyDescent="0.25">
      <c r="A9" s="229"/>
      <c r="B9" s="229"/>
      <c r="C9" s="229"/>
      <c r="D9" s="229"/>
      <c r="E9" s="229"/>
      <c r="F9" s="229"/>
      <c r="G9" s="229"/>
      <c r="H9" s="229"/>
    </row>
  </sheetData>
  <sheetProtection algorithmName="SHA-512" hashValue="znUCGPahUNPJlKxpLt9SRhjIBjOUWWSyukzABbnIKy6p3H9xaWthRGcB5mecJhMTsbT58BV8dTWQWPJtyodsTw==" saltValue="vaFP43Kn3klpwOn2fIQnzA==" spinCount="100000" sheet="1" objects="1" selectLockedCells="1" selectUnlockedCells="1"/>
  <pageMargins left="0.70866141732283472" right="0.70866141732283472" top="0.74803149606299213" bottom="0.74803149606299213" header="0.31496062992125984" footer="0.31496062992125984"/>
  <pageSetup scale="87" orientation="portrait" horizontalDpi="4294967293"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50AE-6CBB-4DB2-828D-0932A192687F}">
  <sheetPr>
    <tabColor rgb="FFFF0000"/>
    <pageSetUpPr fitToPage="1"/>
  </sheetPr>
  <dimension ref="A8:G23"/>
  <sheetViews>
    <sheetView view="pageBreakPreview" zoomScale="70" zoomScaleNormal="70" zoomScaleSheetLayoutView="70" workbookViewId="0">
      <pane xSplit="6" ySplit="24" topLeftCell="G25" activePane="bottomRight" state="frozen"/>
      <selection pane="topRight" activeCell="G1" sqref="G1"/>
      <selection pane="bottomLeft" activeCell="A16" sqref="A16"/>
      <selection pane="bottomRight"/>
    </sheetView>
  </sheetViews>
  <sheetFormatPr defaultRowHeight="15" x14ac:dyDescent="0.25"/>
  <cols>
    <col min="1" max="1" width="29.28515625" customWidth="1"/>
    <col min="2" max="7" width="15.140625" customWidth="1"/>
  </cols>
  <sheetData>
    <row r="8" spans="1:7" ht="15.75" thickBot="1" x14ac:dyDescent="0.3"/>
    <row r="9" spans="1:7" ht="21" x14ac:dyDescent="0.35">
      <c r="A9" s="241" t="s">
        <v>434</v>
      </c>
      <c r="B9" s="238"/>
      <c r="C9" s="238"/>
      <c r="D9" s="238"/>
      <c r="E9" s="238"/>
      <c r="F9" s="238"/>
      <c r="G9" s="239"/>
    </row>
    <row r="10" spans="1:7" ht="21" x14ac:dyDescent="0.35">
      <c r="A10" s="486" t="s">
        <v>430</v>
      </c>
      <c r="B10" s="487"/>
      <c r="C10" s="487"/>
      <c r="D10" s="487"/>
      <c r="E10" s="208"/>
      <c r="F10" s="208"/>
      <c r="G10" s="240"/>
    </row>
    <row r="11" spans="1:7" ht="21" x14ac:dyDescent="0.35">
      <c r="A11" s="247"/>
      <c r="B11" s="242"/>
      <c r="C11" s="242"/>
      <c r="D11" s="242"/>
      <c r="E11" s="242"/>
      <c r="F11" s="242"/>
      <c r="G11" s="243"/>
    </row>
    <row r="12" spans="1:7" ht="21" x14ac:dyDescent="0.35">
      <c r="A12" s="246" t="s">
        <v>435</v>
      </c>
      <c r="B12" s="208"/>
      <c r="C12" s="208"/>
      <c r="D12" s="208"/>
      <c r="E12" s="208"/>
      <c r="F12" s="208"/>
      <c r="G12" s="240"/>
    </row>
    <row r="13" spans="1:7" ht="21.75" thickBot="1" x14ac:dyDescent="0.4">
      <c r="A13" s="248"/>
      <c r="B13" s="244"/>
      <c r="C13" s="244"/>
      <c r="D13" s="244"/>
      <c r="E13" s="244"/>
      <c r="F13" s="244"/>
      <c r="G13" s="245"/>
    </row>
    <row r="14" spans="1:7" ht="15.75" thickBot="1" x14ac:dyDescent="0.3"/>
    <row r="15" spans="1:7" x14ac:dyDescent="0.25">
      <c r="A15" s="473" t="s">
        <v>249</v>
      </c>
      <c r="B15" s="474"/>
      <c r="C15" s="474"/>
      <c r="D15" s="474"/>
      <c r="E15" s="474"/>
      <c r="F15" s="474"/>
      <c r="G15" s="475"/>
    </row>
    <row r="16" spans="1:7" x14ac:dyDescent="0.25">
      <c r="A16" s="98"/>
      <c r="B16" s="97" t="str">
        <f>'Project Budget EURO'!B10</f>
        <v>2024/2025</v>
      </c>
      <c r="C16" s="97" t="str">
        <f>'Project Budget EURO'!C10</f>
        <v>2025/2026</v>
      </c>
      <c r="D16" s="97" t="str">
        <f>'Project Budget EURO'!E10</f>
        <v>2027/2028</v>
      </c>
      <c r="E16" s="97" t="e">
        <f>'Project Budget EURO'!#REF!</f>
        <v>#REF!</v>
      </c>
      <c r="F16" s="97" t="e">
        <f>'Project Budget EURO'!#REF!</f>
        <v>#REF!</v>
      </c>
      <c r="G16" s="94" t="str">
        <f>'Project Budget EURO'!F10</f>
        <v xml:space="preserve">Total </v>
      </c>
    </row>
    <row r="17" spans="1:7" x14ac:dyDescent="0.25">
      <c r="A17" s="98"/>
      <c r="B17" s="97">
        <f>$A$11</f>
        <v>0</v>
      </c>
      <c r="C17" s="97">
        <f t="shared" ref="C17:F17" si="0">$A$11</f>
        <v>0</v>
      </c>
      <c r="D17" s="97">
        <f t="shared" si="0"/>
        <v>0</v>
      </c>
      <c r="E17" s="97">
        <f t="shared" si="0"/>
        <v>0</v>
      </c>
      <c r="F17" s="97">
        <f t="shared" si="0"/>
        <v>0</v>
      </c>
      <c r="G17" s="94"/>
    </row>
    <row r="18" spans="1:7" x14ac:dyDescent="0.25">
      <c r="A18" s="92" t="e">
        <f>'Project Budget EURO'!#REF!</f>
        <v>#REF!</v>
      </c>
      <c r="B18" s="93" t="e">
        <f>'Project Budget EURO'!#REF!*$A$13</f>
        <v>#REF!</v>
      </c>
      <c r="C18" s="93" t="e">
        <f>'Project Budget EURO'!#REF!*$A$13</f>
        <v>#REF!</v>
      </c>
      <c r="D18" s="93" t="e">
        <f>'Project Budget EURO'!#REF!*$A$13</f>
        <v>#REF!</v>
      </c>
      <c r="E18" s="93" t="e">
        <f>'Project Budget EURO'!#REF!*$A$13</f>
        <v>#REF!</v>
      </c>
      <c r="F18" s="93" t="e">
        <f>'Project Budget EURO'!#REF!*$A$13</f>
        <v>#REF!</v>
      </c>
      <c r="G18" s="95" t="e">
        <f>SUM(B18:F18)</f>
        <v>#REF!</v>
      </c>
    </row>
    <row r="19" spans="1:7" x14ac:dyDescent="0.25">
      <c r="A19" s="92" t="s">
        <v>240</v>
      </c>
      <c r="B19" s="93">
        <f>'Project Budget EURO'!B14*$A$13</f>
        <v>0</v>
      </c>
      <c r="C19" s="93">
        <f>'Project Budget EURO'!C14*$A$13</f>
        <v>0</v>
      </c>
      <c r="D19" s="93">
        <f>'Project Budget EURO'!E14*$A$13</f>
        <v>0</v>
      </c>
      <c r="E19" s="93" t="e">
        <f>'Project Budget EURO'!#REF!*$A$13</f>
        <v>#REF!</v>
      </c>
      <c r="F19" s="93" t="e">
        <f>'Project Budget EURO'!#REF!*$A$13</f>
        <v>#REF!</v>
      </c>
      <c r="G19" s="95" t="e">
        <f t="shared" ref="G19:G22" si="1">SUM(B19:F19)</f>
        <v>#REF!</v>
      </c>
    </row>
    <row r="20" spans="1:7" x14ac:dyDescent="0.25">
      <c r="A20" s="92" t="s">
        <v>260</v>
      </c>
      <c r="B20" s="93">
        <f>'Project Budget EURO'!B16*$A$13</f>
        <v>0</v>
      </c>
      <c r="C20" s="93">
        <f>'Project Budget EURO'!C16*$A$13</f>
        <v>0</v>
      </c>
      <c r="D20" s="93">
        <f>'Project Budget EURO'!E16*$A$13</f>
        <v>0</v>
      </c>
      <c r="E20" s="93" t="e">
        <f>'Project Budget EURO'!#REF!*$A$13</f>
        <v>#REF!</v>
      </c>
      <c r="F20" s="93" t="e">
        <f>'Project Budget EURO'!#REF!*$A$13</f>
        <v>#REF!</v>
      </c>
      <c r="G20" s="95" t="e">
        <f t="shared" si="1"/>
        <v>#REF!</v>
      </c>
    </row>
    <row r="21" spans="1:7" x14ac:dyDescent="0.25">
      <c r="A21" s="91" t="s">
        <v>275</v>
      </c>
      <c r="B21" s="93">
        <f>'Project Budget EURO'!B17*$A$13</f>
        <v>0</v>
      </c>
      <c r="C21" s="93">
        <f>'Project Budget EURO'!C17*$A$13</f>
        <v>0</v>
      </c>
      <c r="D21" s="93">
        <f>'Project Budget EURO'!E17*$A$13</f>
        <v>0</v>
      </c>
      <c r="E21" s="93" t="e">
        <f>'Project Budget EURO'!#REF!*$A$13</f>
        <v>#REF!</v>
      </c>
      <c r="F21" s="93" t="e">
        <f>'Project Budget EURO'!#REF!*$A$13</f>
        <v>#REF!</v>
      </c>
      <c r="G21" s="95" t="e">
        <f t="shared" si="1"/>
        <v>#REF!</v>
      </c>
    </row>
    <row r="22" spans="1:7" ht="15.75" thickBot="1" x14ac:dyDescent="0.3">
      <c r="A22" s="116" t="s">
        <v>264</v>
      </c>
      <c r="B22" s="93">
        <f>'Project Budget EURO'!B18*$A$13</f>
        <v>0</v>
      </c>
      <c r="C22" s="93">
        <f>'Project Budget EURO'!C18*$A$13</f>
        <v>0</v>
      </c>
      <c r="D22" s="93">
        <f>'Project Budget EURO'!E18*$A$13</f>
        <v>0</v>
      </c>
      <c r="E22" s="93" t="e">
        <f>'Project Budget EURO'!#REF!*$A$13</f>
        <v>#REF!</v>
      </c>
      <c r="F22" s="93" t="e">
        <f>'Project Budget EURO'!#REF!*$A$13</f>
        <v>#REF!</v>
      </c>
      <c r="G22" s="95" t="e">
        <f t="shared" si="1"/>
        <v>#REF!</v>
      </c>
    </row>
    <row r="23" spans="1:7" ht="15.75" thickBot="1" x14ac:dyDescent="0.3">
      <c r="A23" s="99" t="s">
        <v>12</v>
      </c>
      <c r="B23" s="100" t="e">
        <f>SUM(B18:B22)</f>
        <v>#REF!</v>
      </c>
      <c r="C23" s="100" t="e">
        <f t="shared" ref="C23:G23" si="2">SUM(C18:C22)</f>
        <v>#REF!</v>
      </c>
      <c r="D23" s="100" t="e">
        <f t="shared" si="2"/>
        <v>#REF!</v>
      </c>
      <c r="E23" s="100" t="e">
        <f t="shared" si="2"/>
        <v>#REF!</v>
      </c>
      <c r="F23" s="100" t="e">
        <f t="shared" si="2"/>
        <v>#REF!</v>
      </c>
      <c r="G23" s="100" t="e">
        <f t="shared" si="2"/>
        <v>#REF!</v>
      </c>
    </row>
  </sheetData>
  <mergeCells count="2">
    <mergeCell ref="A15:G15"/>
    <mergeCell ref="A10:D10"/>
  </mergeCells>
  <dataValidations count="2">
    <dataValidation allowBlank="1" showInputMessage="1" showErrorMessage="1" promptTitle="Do not edit!" prompt="These cells autopopulate from information you provide in Steps 1-4. " sqref="A15:G24" xr:uid="{D8678E88-2F3E-4B1A-8147-574C2920F126}"/>
    <dataValidation allowBlank="1" showInputMessage="1" showErrorMessage="1" promptTitle="FX rate" prompt="We suggest using the current 12 month average FX rate. This is available from centralbank.ie. " sqref="A13" xr:uid="{3018213C-AABB-4CA0-91AA-091849366E14}"/>
  </dataValidations>
  <pageMargins left="0.70866141732283472" right="0.70866141732283472" top="0.74803149606299213" bottom="0.74803149606299213" header="0.31496062992125984" footer="0.31496062992125984"/>
  <pageSetup paperSize="9" scale="72"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D9F7FA-AC53-47CD-A530-4A270F030BCE}">
          <x14:formula1>
            <xm:f>'All job positions.'!$E$116:$E$117</xm:f>
          </x14:formula1>
          <xm:sqref>A11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3187-3C29-4AFF-BFC9-0685848D2EA8}">
  <dimension ref="A1:X183"/>
  <sheetViews>
    <sheetView workbookViewId="0">
      <pane ySplit="4" topLeftCell="A5" activePane="bottomLeft" state="frozen"/>
      <selection activeCell="G18" sqref="G18"/>
      <selection pane="bottomLeft" activeCell="F4" sqref="F4"/>
    </sheetView>
  </sheetViews>
  <sheetFormatPr defaultRowHeight="15" x14ac:dyDescent="0.25"/>
  <cols>
    <col min="1" max="1" width="60.140625" customWidth="1"/>
    <col min="3" max="3" width="21" style="2" customWidth="1"/>
    <col min="4" max="4" width="18.28515625" customWidth="1"/>
    <col min="5" max="5" width="19.85546875" customWidth="1"/>
    <col min="6" max="6" width="14.140625" customWidth="1"/>
    <col min="7" max="8" width="15" hidden="1" customWidth="1"/>
    <col min="9" max="9" width="9.140625" hidden="1" customWidth="1"/>
    <col min="10" max="10" width="14.140625" customWidth="1"/>
    <col min="11" max="13" width="9.140625" hidden="1" customWidth="1"/>
    <col min="14" max="14" width="13.85546875" customWidth="1"/>
    <col min="15" max="15" width="0" hidden="1" customWidth="1"/>
    <col min="16" max="16" width="3.5703125" hidden="1" customWidth="1"/>
    <col min="17" max="17" width="11.85546875" hidden="1" customWidth="1"/>
    <col min="18" max="18" width="14.28515625" customWidth="1"/>
    <col min="19" max="21" width="0" hidden="1" customWidth="1"/>
    <col min="22" max="22" width="12.140625" customWidth="1"/>
    <col min="23" max="24" width="0" hidden="1" customWidth="1"/>
  </cols>
  <sheetData>
    <row r="1" spans="1:24" ht="15.75" thickBot="1" x14ac:dyDescent="0.3">
      <c r="A1" s="1" t="s">
        <v>11</v>
      </c>
      <c r="E1" s="481" t="s">
        <v>9</v>
      </c>
      <c r="F1" s="482"/>
      <c r="J1" s="173" t="s">
        <v>350</v>
      </c>
      <c r="W1" t="s">
        <v>349</v>
      </c>
      <c r="X1">
        <v>60</v>
      </c>
    </row>
    <row r="2" spans="1:24" ht="15.75" thickBot="1" x14ac:dyDescent="0.3">
      <c r="A2" t="s">
        <v>505</v>
      </c>
      <c r="E2" s="16" t="s">
        <v>3</v>
      </c>
      <c r="F2" s="17">
        <v>0</v>
      </c>
      <c r="G2" s="1"/>
      <c r="J2" s="172">
        <f>100%+F2+F3</f>
        <v>1</v>
      </c>
    </row>
    <row r="3" spans="1:24" x14ac:dyDescent="0.25">
      <c r="E3" s="22" t="s">
        <v>4</v>
      </c>
      <c r="F3" s="31">
        <v>0</v>
      </c>
      <c r="G3" s="1"/>
      <c r="J3" s="5"/>
    </row>
    <row r="4" spans="1:24" ht="15.75" thickBot="1" x14ac:dyDescent="0.3">
      <c r="A4" s="19"/>
      <c r="E4" s="18" t="s">
        <v>119</v>
      </c>
      <c r="F4" s="36">
        <v>1.03</v>
      </c>
    </row>
    <row r="5" spans="1:24" s="164" customFormat="1" ht="15.75" thickBot="1" x14ac:dyDescent="0.3">
      <c r="A5" s="164">
        <v>1</v>
      </c>
      <c r="B5" s="164">
        <v>2</v>
      </c>
      <c r="C5" s="164">
        <v>3</v>
      </c>
      <c r="D5" s="164">
        <v>4</v>
      </c>
      <c r="E5" s="164">
        <v>5</v>
      </c>
      <c r="F5" s="164">
        <v>6</v>
      </c>
      <c r="G5" s="164">
        <v>7</v>
      </c>
      <c r="H5" s="164">
        <v>8</v>
      </c>
      <c r="I5" s="164">
        <v>9</v>
      </c>
      <c r="J5" s="164">
        <v>10</v>
      </c>
      <c r="K5" s="164">
        <v>11</v>
      </c>
      <c r="L5" s="164">
        <v>12</v>
      </c>
      <c r="M5" s="164">
        <v>13</v>
      </c>
      <c r="N5" s="164">
        <v>14</v>
      </c>
      <c r="O5" s="164">
        <v>15</v>
      </c>
      <c r="P5" s="164">
        <v>16</v>
      </c>
      <c r="Q5" s="164">
        <v>17</v>
      </c>
      <c r="R5" s="164">
        <v>18</v>
      </c>
      <c r="S5" s="164">
        <v>19</v>
      </c>
      <c r="T5" s="164">
        <v>20</v>
      </c>
      <c r="U5" s="164">
        <v>21</v>
      </c>
      <c r="V5" s="164">
        <v>22</v>
      </c>
    </row>
    <row r="6" spans="1:24" x14ac:dyDescent="0.25">
      <c r="C6" s="488" t="s">
        <v>116</v>
      </c>
      <c r="D6" s="489"/>
      <c r="E6" s="489"/>
      <c r="F6" s="490"/>
      <c r="G6" s="314" t="s">
        <v>117</v>
      </c>
      <c r="H6" s="315"/>
      <c r="I6" s="315"/>
      <c r="J6" s="77" t="s">
        <v>506</v>
      </c>
      <c r="K6" s="314" t="s">
        <v>125</v>
      </c>
      <c r="L6" s="315"/>
      <c r="M6" s="315"/>
      <c r="N6" s="77" t="s">
        <v>507</v>
      </c>
      <c r="O6" s="488" t="s">
        <v>508</v>
      </c>
      <c r="P6" s="489"/>
      <c r="Q6" s="489"/>
      <c r="R6" s="490"/>
      <c r="S6" s="488" t="s">
        <v>509</v>
      </c>
      <c r="T6" s="489"/>
      <c r="U6" s="489"/>
      <c r="V6" s="490"/>
    </row>
    <row r="7" spans="1:24" x14ac:dyDescent="0.25">
      <c r="C7" s="491" t="s">
        <v>510</v>
      </c>
      <c r="D7" s="492"/>
      <c r="E7" s="492"/>
      <c r="F7" s="493"/>
      <c r="G7" s="123"/>
      <c r="H7" s="117"/>
      <c r="I7" s="117"/>
      <c r="J7" s="124"/>
      <c r="K7" s="123"/>
      <c r="L7" s="117"/>
      <c r="M7" s="117"/>
      <c r="N7" s="124"/>
      <c r="O7" s="123"/>
      <c r="P7" s="117"/>
      <c r="Q7" s="117"/>
      <c r="R7" s="124"/>
      <c r="S7" s="123"/>
      <c r="T7" s="117"/>
      <c r="U7" s="117"/>
      <c r="V7" s="124"/>
    </row>
    <row r="8" spans="1:24" ht="105.75" thickBot="1" x14ac:dyDescent="0.3">
      <c r="C8" s="32" t="s">
        <v>1</v>
      </c>
      <c r="D8" s="21" t="s">
        <v>7</v>
      </c>
      <c r="E8" s="21" t="s">
        <v>8</v>
      </c>
      <c r="F8" s="33" t="s">
        <v>118</v>
      </c>
      <c r="G8" s="32" t="s">
        <v>1</v>
      </c>
      <c r="H8" s="21" t="s">
        <v>7</v>
      </c>
      <c r="I8" s="21" t="s">
        <v>8</v>
      </c>
      <c r="J8" s="33" t="s">
        <v>118</v>
      </c>
      <c r="K8" s="32" t="s">
        <v>1</v>
      </c>
      <c r="L8" s="21" t="s">
        <v>7</v>
      </c>
      <c r="M8" s="21" t="s">
        <v>8</v>
      </c>
      <c r="N8" s="33" t="s">
        <v>118</v>
      </c>
      <c r="O8" s="32" t="s">
        <v>1</v>
      </c>
      <c r="P8" s="21" t="s">
        <v>7</v>
      </c>
      <c r="Q8" s="21" t="s">
        <v>8</v>
      </c>
      <c r="R8" s="33" t="s">
        <v>118</v>
      </c>
      <c r="S8" s="32" t="s">
        <v>1</v>
      </c>
      <c r="T8" s="21" t="s">
        <v>7</v>
      </c>
      <c r="U8" s="21" t="s">
        <v>8</v>
      </c>
      <c r="V8" s="33" t="s">
        <v>118</v>
      </c>
      <c r="W8" s="171" t="s">
        <v>348</v>
      </c>
      <c r="X8" s="171" t="s">
        <v>347</v>
      </c>
    </row>
    <row r="9" spans="1:24" ht="15.75" thickBot="1" x14ac:dyDescent="0.3">
      <c r="A9" s="160"/>
      <c r="B9" s="161" t="s">
        <v>0</v>
      </c>
      <c r="C9" s="163" t="s">
        <v>5</v>
      </c>
      <c r="D9" s="161" t="s">
        <v>5</v>
      </c>
      <c r="E9" s="161" t="s">
        <v>6</v>
      </c>
      <c r="F9" s="162" t="s">
        <v>6</v>
      </c>
      <c r="G9" s="163" t="s">
        <v>5</v>
      </c>
      <c r="H9" s="161" t="s">
        <v>5</v>
      </c>
      <c r="I9" s="161" t="s">
        <v>6</v>
      </c>
      <c r="J9" s="162" t="s">
        <v>6</v>
      </c>
      <c r="K9" s="163" t="s">
        <v>5</v>
      </c>
      <c r="L9" s="161" t="s">
        <v>5</v>
      </c>
      <c r="M9" s="161" t="s">
        <v>6</v>
      </c>
      <c r="N9" s="162" t="s">
        <v>6</v>
      </c>
      <c r="O9" s="163" t="s">
        <v>5</v>
      </c>
      <c r="P9" s="161" t="s">
        <v>5</v>
      </c>
      <c r="Q9" s="161" t="s">
        <v>6</v>
      </c>
      <c r="R9" s="162" t="s">
        <v>6</v>
      </c>
      <c r="S9" s="163" t="s">
        <v>5</v>
      </c>
      <c r="T9" s="161" t="s">
        <v>5</v>
      </c>
      <c r="U9" s="161" t="s">
        <v>6</v>
      </c>
      <c r="V9" s="162" t="s">
        <v>6</v>
      </c>
    </row>
    <row r="10" spans="1:24" x14ac:dyDescent="0.25">
      <c r="A10" s="26" t="s">
        <v>346</v>
      </c>
      <c r="B10" s="27">
        <v>1</v>
      </c>
      <c r="C10" s="316">
        <v>65388</v>
      </c>
      <c r="D10" s="28">
        <f t="shared" ref="D10:D73" si="0">C10*$F$2</f>
        <v>0</v>
      </c>
      <c r="E10" s="28">
        <f t="shared" ref="E10:E73" si="1">C10*$F$3</f>
        <v>0</v>
      </c>
      <c r="F10" s="29">
        <f t="shared" ref="F10:F22" si="2">SUM(C10:E10)</f>
        <v>65388</v>
      </c>
      <c r="G10" s="37">
        <f>C10*$F$4</f>
        <v>67349.64</v>
      </c>
      <c r="H10" s="28">
        <f t="shared" ref="H10:H73" si="3">G10*$F$2</f>
        <v>0</v>
      </c>
      <c r="I10" s="28">
        <f t="shared" ref="I10:I73" si="4">G10*$F$3</f>
        <v>0</v>
      </c>
      <c r="J10" s="29">
        <f t="shared" ref="J10:J22" si="5">SUM(G10:I10)</f>
        <v>67349.64</v>
      </c>
      <c r="K10" s="37">
        <f>G10*$F$4</f>
        <v>69370.129199999996</v>
      </c>
      <c r="L10" s="28">
        <f t="shared" ref="L10:L73" si="6">K10*$F$2</f>
        <v>0</v>
      </c>
      <c r="M10" s="28">
        <f t="shared" ref="M10:M73" si="7">K10*$F$3</f>
        <v>0</v>
      </c>
      <c r="N10" s="29">
        <f t="shared" ref="N10:N22" si="8">SUM(K10:M10)</f>
        <v>69370.129199999996</v>
      </c>
      <c r="O10" s="37">
        <f>K10*$F$4</f>
        <v>71451.233076000004</v>
      </c>
      <c r="P10" s="28">
        <f t="shared" ref="P10:P73" si="9">O10*$F$2</f>
        <v>0</v>
      </c>
      <c r="Q10" s="28">
        <f t="shared" ref="Q10:Q73" si="10">O10*$F$3</f>
        <v>0</v>
      </c>
      <c r="R10" s="29">
        <f t="shared" ref="R10:R22" si="11">SUM(O10:Q10)</f>
        <v>71451.233076000004</v>
      </c>
      <c r="S10" s="37">
        <f>O10*$F$4</f>
        <v>73594.770068280006</v>
      </c>
      <c r="T10" s="28">
        <f t="shared" ref="T10:T73" si="12">S10*$F$2</f>
        <v>0</v>
      </c>
      <c r="U10" s="28">
        <f t="shared" ref="U10:U73" si="13">S10*$F$3</f>
        <v>0</v>
      </c>
      <c r="V10" s="29">
        <f t="shared" ref="V10:V22" si="14">SUM(S10:U10)</f>
        <v>73594.770068280006</v>
      </c>
      <c r="W10" s="5">
        <f t="shared" ref="W10:W15" si="15">AVERAGE(F10,J10,N10,R10,V10)</f>
        <v>69430.754468856001</v>
      </c>
      <c r="X10" s="5">
        <f t="shared" ref="X10:X15" si="16">SUM(F10,J10,N10,R10,V10)/$X$1</f>
        <v>5785.8962057379995</v>
      </c>
    </row>
    <row r="11" spans="1:24" x14ac:dyDescent="0.25">
      <c r="A11" s="24" t="s">
        <v>345</v>
      </c>
      <c r="B11" s="2">
        <v>2</v>
      </c>
      <c r="C11" s="317">
        <v>67629</v>
      </c>
      <c r="D11" s="7">
        <f t="shared" si="0"/>
        <v>0</v>
      </c>
      <c r="E11" s="7">
        <f t="shared" si="1"/>
        <v>0</v>
      </c>
      <c r="F11" s="8">
        <f t="shared" si="2"/>
        <v>67629</v>
      </c>
      <c r="G11" s="34">
        <f t="shared" ref="G11:G74" si="17">C11*$F$4</f>
        <v>69657.87</v>
      </c>
      <c r="H11" s="7">
        <f t="shared" si="3"/>
        <v>0</v>
      </c>
      <c r="I11" s="7">
        <f t="shared" si="4"/>
        <v>0</v>
      </c>
      <c r="J11" s="8">
        <f t="shared" si="5"/>
        <v>69657.87</v>
      </c>
      <c r="K11" s="34">
        <f t="shared" ref="K11:K74" si="18">G11*$F$4</f>
        <v>71747.60609999999</v>
      </c>
      <c r="L11" s="7">
        <f t="shared" si="6"/>
        <v>0</v>
      </c>
      <c r="M11" s="7">
        <f t="shared" si="7"/>
        <v>0</v>
      </c>
      <c r="N11" s="8">
        <f t="shared" si="8"/>
        <v>71747.60609999999</v>
      </c>
      <c r="O11" s="34">
        <f t="shared" ref="O11:O74" si="19">K11*$F$4</f>
        <v>73900.034282999986</v>
      </c>
      <c r="P11" s="7">
        <f t="shared" si="9"/>
        <v>0</v>
      </c>
      <c r="Q11" s="7">
        <f t="shared" si="10"/>
        <v>0</v>
      </c>
      <c r="R11" s="8">
        <f t="shared" si="11"/>
        <v>73900.034282999986</v>
      </c>
      <c r="S11" s="34">
        <f t="shared" ref="S11:S74" si="20">O11*$F$4</f>
        <v>76117.035311489992</v>
      </c>
      <c r="T11" s="7">
        <f t="shared" si="12"/>
        <v>0</v>
      </c>
      <c r="U11" s="7">
        <f t="shared" si="13"/>
        <v>0</v>
      </c>
      <c r="V11" s="8">
        <f t="shared" si="14"/>
        <v>76117.035311489992</v>
      </c>
      <c r="W11" s="5">
        <f t="shared" si="15"/>
        <v>71810.309138897996</v>
      </c>
      <c r="X11" s="5">
        <f t="shared" si="16"/>
        <v>5984.1924282414993</v>
      </c>
    </row>
    <row r="12" spans="1:24" x14ac:dyDescent="0.25">
      <c r="A12" s="24" t="s">
        <v>344</v>
      </c>
      <c r="B12" s="2">
        <v>3</v>
      </c>
      <c r="C12" s="317">
        <v>69845</v>
      </c>
      <c r="D12" s="7">
        <f t="shared" si="0"/>
        <v>0</v>
      </c>
      <c r="E12" s="7">
        <f t="shared" si="1"/>
        <v>0</v>
      </c>
      <c r="F12" s="8">
        <f t="shared" si="2"/>
        <v>69845</v>
      </c>
      <c r="G12" s="34">
        <f t="shared" si="17"/>
        <v>71940.350000000006</v>
      </c>
      <c r="H12" s="7">
        <f t="shared" si="3"/>
        <v>0</v>
      </c>
      <c r="I12" s="7">
        <f t="shared" si="4"/>
        <v>0</v>
      </c>
      <c r="J12" s="8">
        <f t="shared" si="5"/>
        <v>71940.350000000006</v>
      </c>
      <c r="K12" s="34">
        <f t="shared" si="18"/>
        <v>74098.560500000007</v>
      </c>
      <c r="L12" s="7">
        <f t="shared" si="6"/>
        <v>0</v>
      </c>
      <c r="M12" s="7">
        <f t="shared" si="7"/>
        <v>0</v>
      </c>
      <c r="N12" s="8">
        <f t="shared" si="8"/>
        <v>74098.560500000007</v>
      </c>
      <c r="O12" s="34">
        <f t="shared" si="19"/>
        <v>76321.517315000005</v>
      </c>
      <c r="P12" s="7">
        <f t="shared" si="9"/>
        <v>0</v>
      </c>
      <c r="Q12" s="7">
        <f t="shared" si="10"/>
        <v>0</v>
      </c>
      <c r="R12" s="8">
        <f t="shared" si="11"/>
        <v>76321.517315000005</v>
      </c>
      <c r="S12" s="34">
        <f t="shared" si="20"/>
        <v>78611.162834450006</v>
      </c>
      <c r="T12" s="7">
        <f t="shared" si="12"/>
        <v>0</v>
      </c>
      <c r="U12" s="7">
        <f t="shared" si="13"/>
        <v>0</v>
      </c>
      <c r="V12" s="8">
        <f t="shared" si="14"/>
        <v>78611.162834450006</v>
      </c>
      <c r="W12" s="5">
        <f t="shared" si="15"/>
        <v>74163.318129890002</v>
      </c>
      <c r="X12" s="5">
        <f t="shared" si="16"/>
        <v>6180.2765108241674</v>
      </c>
    </row>
    <row r="13" spans="1:24" x14ac:dyDescent="0.25">
      <c r="A13" s="24" t="s">
        <v>343</v>
      </c>
      <c r="B13" s="2">
        <v>4</v>
      </c>
      <c r="C13" s="317">
        <v>72429</v>
      </c>
      <c r="D13" s="7">
        <f t="shared" si="0"/>
        <v>0</v>
      </c>
      <c r="E13" s="7">
        <f t="shared" si="1"/>
        <v>0</v>
      </c>
      <c r="F13" s="8">
        <f t="shared" si="2"/>
        <v>72429</v>
      </c>
      <c r="G13" s="34">
        <f t="shared" si="17"/>
        <v>74601.87</v>
      </c>
      <c r="H13" s="7">
        <f t="shared" si="3"/>
        <v>0</v>
      </c>
      <c r="I13" s="7">
        <f t="shared" si="4"/>
        <v>0</v>
      </c>
      <c r="J13" s="8">
        <f t="shared" si="5"/>
        <v>74601.87</v>
      </c>
      <c r="K13" s="34">
        <f t="shared" si="18"/>
        <v>76839.926099999997</v>
      </c>
      <c r="L13" s="7">
        <f t="shared" si="6"/>
        <v>0</v>
      </c>
      <c r="M13" s="7">
        <f t="shared" si="7"/>
        <v>0</v>
      </c>
      <c r="N13" s="8">
        <f t="shared" si="8"/>
        <v>76839.926099999997</v>
      </c>
      <c r="O13" s="34">
        <f t="shared" si="19"/>
        <v>79145.123882999993</v>
      </c>
      <c r="P13" s="7">
        <f t="shared" si="9"/>
        <v>0</v>
      </c>
      <c r="Q13" s="7">
        <f t="shared" si="10"/>
        <v>0</v>
      </c>
      <c r="R13" s="8">
        <f t="shared" si="11"/>
        <v>79145.123882999993</v>
      </c>
      <c r="S13" s="34">
        <f t="shared" si="20"/>
        <v>81519.477599489997</v>
      </c>
      <c r="T13" s="7">
        <f t="shared" si="12"/>
        <v>0</v>
      </c>
      <c r="U13" s="7">
        <f t="shared" si="13"/>
        <v>0</v>
      </c>
      <c r="V13" s="8">
        <f t="shared" si="14"/>
        <v>81519.477599489997</v>
      </c>
      <c r="W13" s="5">
        <f t="shared" si="15"/>
        <v>76907.079516497994</v>
      </c>
      <c r="X13" s="5">
        <f t="shared" si="16"/>
        <v>6408.9232930415001</v>
      </c>
    </row>
    <row r="14" spans="1:24" x14ac:dyDescent="0.25">
      <c r="A14" s="24" t="s">
        <v>342</v>
      </c>
      <c r="B14" s="2">
        <v>5</v>
      </c>
      <c r="C14" s="317">
        <v>75000</v>
      </c>
      <c r="D14" s="7">
        <f t="shared" si="0"/>
        <v>0</v>
      </c>
      <c r="E14" s="7">
        <f t="shared" si="1"/>
        <v>0</v>
      </c>
      <c r="F14" s="8">
        <f t="shared" si="2"/>
        <v>75000</v>
      </c>
      <c r="G14" s="34">
        <f t="shared" si="17"/>
        <v>77250</v>
      </c>
      <c r="H14" s="7">
        <f t="shared" si="3"/>
        <v>0</v>
      </c>
      <c r="I14" s="7">
        <f t="shared" si="4"/>
        <v>0</v>
      </c>
      <c r="J14" s="8">
        <f t="shared" si="5"/>
        <v>77250</v>
      </c>
      <c r="K14" s="34">
        <f t="shared" si="18"/>
        <v>79567.5</v>
      </c>
      <c r="L14" s="7">
        <f t="shared" si="6"/>
        <v>0</v>
      </c>
      <c r="M14" s="7">
        <f t="shared" si="7"/>
        <v>0</v>
      </c>
      <c r="N14" s="8">
        <f t="shared" si="8"/>
        <v>79567.5</v>
      </c>
      <c r="O14" s="34">
        <f t="shared" si="19"/>
        <v>81954.525000000009</v>
      </c>
      <c r="P14" s="7">
        <f t="shared" si="9"/>
        <v>0</v>
      </c>
      <c r="Q14" s="7">
        <f t="shared" si="10"/>
        <v>0</v>
      </c>
      <c r="R14" s="8">
        <f t="shared" si="11"/>
        <v>81954.525000000009</v>
      </c>
      <c r="S14" s="34">
        <f t="shared" si="20"/>
        <v>84413.16075000001</v>
      </c>
      <c r="T14" s="7">
        <f t="shared" si="12"/>
        <v>0</v>
      </c>
      <c r="U14" s="7">
        <f t="shared" si="13"/>
        <v>0</v>
      </c>
      <c r="V14" s="8">
        <f t="shared" si="14"/>
        <v>84413.16075000001</v>
      </c>
      <c r="W14" s="5">
        <f t="shared" si="15"/>
        <v>79637.037150000018</v>
      </c>
      <c r="X14" s="5">
        <f t="shared" si="16"/>
        <v>6636.4197625000006</v>
      </c>
    </row>
    <row r="15" spans="1:24" ht="15.75" thickBot="1" x14ac:dyDescent="0.3">
      <c r="A15" s="25" t="s">
        <v>341</v>
      </c>
      <c r="B15" s="9">
        <v>6</v>
      </c>
      <c r="C15" s="318">
        <v>76409</v>
      </c>
      <c r="D15" s="10">
        <f t="shared" si="0"/>
        <v>0</v>
      </c>
      <c r="E15" s="10">
        <f t="shared" si="1"/>
        <v>0</v>
      </c>
      <c r="F15" s="11">
        <f t="shared" si="2"/>
        <v>76409</v>
      </c>
      <c r="G15" s="35">
        <f t="shared" si="17"/>
        <v>78701.27</v>
      </c>
      <c r="H15" s="10">
        <f t="shared" si="3"/>
        <v>0</v>
      </c>
      <c r="I15" s="10">
        <f t="shared" si="4"/>
        <v>0</v>
      </c>
      <c r="J15" s="11">
        <f t="shared" si="5"/>
        <v>78701.27</v>
      </c>
      <c r="K15" s="35">
        <f t="shared" si="18"/>
        <v>81062.308100000009</v>
      </c>
      <c r="L15" s="10">
        <f t="shared" si="6"/>
        <v>0</v>
      </c>
      <c r="M15" s="10">
        <f t="shared" si="7"/>
        <v>0</v>
      </c>
      <c r="N15" s="11">
        <f t="shared" si="8"/>
        <v>81062.308100000009</v>
      </c>
      <c r="O15" s="35">
        <f t="shared" si="19"/>
        <v>83494.177343000018</v>
      </c>
      <c r="P15" s="10">
        <f t="shared" si="9"/>
        <v>0</v>
      </c>
      <c r="Q15" s="10">
        <f t="shared" si="10"/>
        <v>0</v>
      </c>
      <c r="R15" s="11">
        <f t="shared" si="11"/>
        <v>83494.177343000018</v>
      </c>
      <c r="S15" s="35">
        <f t="shared" si="20"/>
        <v>85999.002663290026</v>
      </c>
      <c r="T15" s="10">
        <f t="shared" si="12"/>
        <v>0</v>
      </c>
      <c r="U15" s="10">
        <f t="shared" si="13"/>
        <v>0</v>
      </c>
      <c r="V15" s="11">
        <f t="shared" si="14"/>
        <v>85999.002663290026</v>
      </c>
      <c r="W15" s="5">
        <f t="shared" si="15"/>
        <v>81133.151621258017</v>
      </c>
      <c r="X15" s="5">
        <f t="shared" si="16"/>
        <v>6761.0959684381678</v>
      </c>
    </row>
    <row r="16" spans="1:24" x14ac:dyDescent="0.25">
      <c r="A16" s="26" t="s">
        <v>340</v>
      </c>
      <c r="B16" s="27">
        <v>1</v>
      </c>
      <c r="C16" s="316">
        <v>62218</v>
      </c>
      <c r="D16" s="28">
        <f t="shared" si="0"/>
        <v>0</v>
      </c>
      <c r="E16" s="28">
        <f t="shared" si="1"/>
        <v>0</v>
      </c>
      <c r="F16" s="29">
        <f t="shared" si="2"/>
        <v>62218</v>
      </c>
      <c r="G16" s="37">
        <f t="shared" si="17"/>
        <v>64084.54</v>
      </c>
      <c r="H16" s="28">
        <f t="shared" si="3"/>
        <v>0</v>
      </c>
      <c r="I16" s="28">
        <f t="shared" si="4"/>
        <v>0</v>
      </c>
      <c r="J16" s="29">
        <f t="shared" si="5"/>
        <v>64084.54</v>
      </c>
      <c r="K16" s="37">
        <f t="shared" si="18"/>
        <v>66007.076199999996</v>
      </c>
      <c r="L16" s="28">
        <f t="shared" si="6"/>
        <v>0</v>
      </c>
      <c r="M16" s="28">
        <f t="shared" si="7"/>
        <v>0</v>
      </c>
      <c r="N16" s="29">
        <f t="shared" si="8"/>
        <v>66007.076199999996</v>
      </c>
      <c r="O16" s="37">
        <f t="shared" si="19"/>
        <v>67987.28848599999</v>
      </c>
      <c r="P16" s="28">
        <f t="shared" si="9"/>
        <v>0</v>
      </c>
      <c r="Q16" s="28">
        <f t="shared" si="10"/>
        <v>0</v>
      </c>
      <c r="R16" s="29">
        <f t="shared" si="11"/>
        <v>67987.28848599999</v>
      </c>
      <c r="S16" s="37">
        <f t="shared" si="20"/>
        <v>70026.907140579991</v>
      </c>
      <c r="T16" s="28">
        <f t="shared" si="12"/>
        <v>0</v>
      </c>
      <c r="U16" s="28">
        <f t="shared" si="13"/>
        <v>0</v>
      </c>
      <c r="V16" s="29">
        <f t="shared" si="14"/>
        <v>70026.907140579991</v>
      </c>
    </row>
    <row r="17" spans="1:24" x14ac:dyDescent="0.25">
      <c r="A17" s="24" t="s">
        <v>339</v>
      </c>
      <c r="B17" s="2">
        <v>2</v>
      </c>
      <c r="C17" s="317">
        <v>64339</v>
      </c>
      <c r="D17" s="7">
        <f t="shared" si="0"/>
        <v>0</v>
      </c>
      <c r="E17" s="7">
        <f t="shared" si="1"/>
        <v>0</v>
      </c>
      <c r="F17" s="8">
        <f t="shared" si="2"/>
        <v>64339</v>
      </c>
      <c r="G17" s="34">
        <f t="shared" si="17"/>
        <v>66269.17</v>
      </c>
      <c r="H17" s="7">
        <f t="shared" si="3"/>
        <v>0</v>
      </c>
      <c r="I17" s="7">
        <f t="shared" si="4"/>
        <v>0</v>
      </c>
      <c r="J17" s="8">
        <f t="shared" si="5"/>
        <v>66269.17</v>
      </c>
      <c r="K17" s="34">
        <f t="shared" si="18"/>
        <v>68257.2451</v>
      </c>
      <c r="L17" s="7">
        <f t="shared" si="6"/>
        <v>0</v>
      </c>
      <c r="M17" s="7">
        <f t="shared" si="7"/>
        <v>0</v>
      </c>
      <c r="N17" s="8">
        <f t="shared" si="8"/>
        <v>68257.2451</v>
      </c>
      <c r="O17" s="34">
        <f t="shared" si="19"/>
        <v>70304.962453</v>
      </c>
      <c r="P17" s="7">
        <f t="shared" si="9"/>
        <v>0</v>
      </c>
      <c r="Q17" s="7">
        <f t="shared" si="10"/>
        <v>0</v>
      </c>
      <c r="R17" s="8">
        <f t="shared" si="11"/>
        <v>70304.962453</v>
      </c>
      <c r="S17" s="34">
        <f t="shared" si="20"/>
        <v>72414.111326590006</v>
      </c>
      <c r="T17" s="7">
        <f t="shared" si="12"/>
        <v>0</v>
      </c>
      <c r="U17" s="7">
        <f t="shared" si="13"/>
        <v>0</v>
      </c>
      <c r="V17" s="8">
        <f t="shared" si="14"/>
        <v>72414.111326590006</v>
      </c>
      <c r="W17" s="5"/>
      <c r="X17" s="5"/>
    </row>
    <row r="18" spans="1:24" x14ac:dyDescent="0.25">
      <c r="A18" s="24" t="s">
        <v>338</v>
      </c>
      <c r="B18" s="2">
        <v>3</v>
      </c>
      <c r="C18" s="317">
        <v>66450</v>
      </c>
      <c r="D18" s="7">
        <f t="shared" si="0"/>
        <v>0</v>
      </c>
      <c r="E18" s="7">
        <f t="shared" si="1"/>
        <v>0</v>
      </c>
      <c r="F18" s="8">
        <f t="shared" si="2"/>
        <v>66450</v>
      </c>
      <c r="G18" s="34">
        <f t="shared" si="17"/>
        <v>68443.5</v>
      </c>
      <c r="H18" s="7">
        <f t="shared" si="3"/>
        <v>0</v>
      </c>
      <c r="I18" s="7">
        <f t="shared" si="4"/>
        <v>0</v>
      </c>
      <c r="J18" s="8">
        <f t="shared" si="5"/>
        <v>68443.5</v>
      </c>
      <c r="K18" s="34">
        <f t="shared" si="18"/>
        <v>70496.805000000008</v>
      </c>
      <c r="L18" s="7">
        <f t="shared" si="6"/>
        <v>0</v>
      </c>
      <c r="M18" s="7">
        <f t="shared" si="7"/>
        <v>0</v>
      </c>
      <c r="N18" s="8">
        <f t="shared" si="8"/>
        <v>70496.805000000008</v>
      </c>
      <c r="O18" s="34">
        <f t="shared" si="19"/>
        <v>72611.70915000001</v>
      </c>
      <c r="P18" s="7">
        <f t="shared" si="9"/>
        <v>0</v>
      </c>
      <c r="Q18" s="7">
        <f t="shared" si="10"/>
        <v>0</v>
      </c>
      <c r="R18" s="8">
        <f t="shared" si="11"/>
        <v>72611.70915000001</v>
      </c>
      <c r="S18" s="34">
        <f t="shared" si="20"/>
        <v>74790.060424500014</v>
      </c>
      <c r="T18" s="7">
        <f t="shared" si="12"/>
        <v>0</v>
      </c>
      <c r="U18" s="7">
        <f t="shared" si="13"/>
        <v>0</v>
      </c>
      <c r="V18" s="8">
        <f t="shared" si="14"/>
        <v>74790.060424500014</v>
      </c>
      <c r="W18" s="5"/>
      <c r="X18" s="5"/>
    </row>
    <row r="19" spans="1:24" x14ac:dyDescent="0.25">
      <c r="A19" s="24" t="s">
        <v>337</v>
      </c>
      <c r="B19" s="2">
        <v>4</v>
      </c>
      <c r="C19" s="317">
        <v>68904</v>
      </c>
      <c r="D19" s="7">
        <f t="shared" si="0"/>
        <v>0</v>
      </c>
      <c r="E19" s="7">
        <f t="shared" si="1"/>
        <v>0</v>
      </c>
      <c r="F19" s="8">
        <f t="shared" si="2"/>
        <v>68904</v>
      </c>
      <c r="G19" s="34">
        <f t="shared" si="17"/>
        <v>70971.12</v>
      </c>
      <c r="H19" s="7">
        <f t="shared" si="3"/>
        <v>0</v>
      </c>
      <c r="I19" s="7">
        <f t="shared" si="4"/>
        <v>0</v>
      </c>
      <c r="J19" s="8">
        <f t="shared" si="5"/>
        <v>70971.12</v>
      </c>
      <c r="K19" s="34">
        <f t="shared" si="18"/>
        <v>73100.253599999996</v>
      </c>
      <c r="L19" s="7">
        <f t="shared" si="6"/>
        <v>0</v>
      </c>
      <c r="M19" s="7">
        <f t="shared" si="7"/>
        <v>0</v>
      </c>
      <c r="N19" s="8">
        <f t="shared" si="8"/>
        <v>73100.253599999996</v>
      </c>
      <c r="O19" s="34">
        <f t="shared" si="19"/>
        <v>75293.261207999996</v>
      </c>
      <c r="P19" s="7">
        <f t="shared" si="9"/>
        <v>0</v>
      </c>
      <c r="Q19" s="7">
        <f t="shared" si="10"/>
        <v>0</v>
      </c>
      <c r="R19" s="8">
        <f t="shared" si="11"/>
        <v>75293.261207999996</v>
      </c>
      <c r="S19" s="34">
        <f t="shared" si="20"/>
        <v>77552.059044239999</v>
      </c>
      <c r="T19" s="7">
        <f t="shared" si="12"/>
        <v>0</v>
      </c>
      <c r="U19" s="7">
        <f t="shared" si="13"/>
        <v>0</v>
      </c>
      <c r="V19" s="8">
        <f t="shared" si="14"/>
        <v>77552.059044239999</v>
      </c>
      <c r="W19" s="5"/>
      <c r="X19" s="5"/>
    </row>
    <row r="20" spans="1:24" x14ac:dyDescent="0.25">
      <c r="A20" s="24" t="s">
        <v>336</v>
      </c>
      <c r="B20" s="2">
        <v>5</v>
      </c>
      <c r="C20" s="317">
        <v>71352</v>
      </c>
      <c r="D20" s="7">
        <f t="shared" si="0"/>
        <v>0</v>
      </c>
      <c r="E20" s="7">
        <f t="shared" si="1"/>
        <v>0</v>
      </c>
      <c r="F20" s="8">
        <f t="shared" si="2"/>
        <v>71352</v>
      </c>
      <c r="G20" s="34">
        <f t="shared" si="17"/>
        <v>73492.56</v>
      </c>
      <c r="H20" s="7">
        <f t="shared" si="3"/>
        <v>0</v>
      </c>
      <c r="I20" s="7">
        <f t="shared" si="4"/>
        <v>0</v>
      </c>
      <c r="J20" s="8">
        <f t="shared" si="5"/>
        <v>73492.56</v>
      </c>
      <c r="K20" s="34">
        <f t="shared" si="18"/>
        <v>75697.336800000005</v>
      </c>
      <c r="L20" s="7">
        <f t="shared" si="6"/>
        <v>0</v>
      </c>
      <c r="M20" s="7">
        <f t="shared" si="7"/>
        <v>0</v>
      </c>
      <c r="N20" s="8">
        <f t="shared" si="8"/>
        <v>75697.336800000005</v>
      </c>
      <c r="O20" s="34">
        <f t="shared" si="19"/>
        <v>77968.256904000009</v>
      </c>
      <c r="P20" s="7">
        <f t="shared" si="9"/>
        <v>0</v>
      </c>
      <c r="Q20" s="7">
        <f t="shared" si="10"/>
        <v>0</v>
      </c>
      <c r="R20" s="8">
        <f t="shared" si="11"/>
        <v>77968.256904000009</v>
      </c>
      <c r="S20" s="34">
        <f t="shared" si="20"/>
        <v>80307.304611120009</v>
      </c>
      <c r="T20" s="7">
        <f t="shared" si="12"/>
        <v>0</v>
      </c>
      <c r="U20" s="7">
        <f t="shared" si="13"/>
        <v>0</v>
      </c>
      <c r="V20" s="8">
        <f t="shared" si="14"/>
        <v>80307.304611120009</v>
      </c>
      <c r="W20" s="5"/>
      <c r="X20" s="5"/>
    </row>
    <row r="21" spans="1:24" ht="15.75" thickBot="1" x14ac:dyDescent="0.3">
      <c r="A21" s="25" t="s">
        <v>335</v>
      </c>
      <c r="B21" s="9">
        <v>6</v>
      </c>
      <c r="C21" s="318">
        <v>73800</v>
      </c>
      <c r="D21" s="10">
        <f t="shared" si="0"/>
        <v>0</v>
      </c>
      <c r="E21" s="10">
        <f t="shared" si="1"/>
        <v>0</v>
      </c>
      <c r="F21" s="11">
        <f t="shared" si="2"/>
        <v>73800</v>
      </c>
      <c r="G21" s="35">
        <f t="shared" si="17"/>
        <v>76014</v>
      </c>
      <c r="H21" s="10">
        <f t="shared" si="3"/>
        <v>0</v>
      </c>
      <c r="I21" s="10">
        <f t="shared" si="4"/>
        <v>0</v>
      </c>
      <c r="J21" s="11">
        <f t="shared" si="5"/>
        <v>76014</v>
      </c>
      <c r="K21" s="35">
        <f t="shared" si="18"/>
        <v>78294.42</v>
      </c>
      <c r="L21" s="10">
        <f t="shared" si="6"/>
        <v>0</v>
      </c>
      <c r="M21" s="10">
        <f t="shared" si="7"/>
        <v>0</v>
      </c>
      <c r="N21" s="11">
        <f t="shared" si="8"/>
        <v>78294.42</v>
      </c>
      <c r="O21" s="35">
        <f t="shared" si="19"/>
        <v>80643.252600000007</v>
      </c>
      <c r="P21" s="10">
        <f t="shared" si="9"/>
        <v>0</v>
      </c>
      <c r="Q21" s="10">
        <f t="shared" si="10"/>
        <v>0</v>
      </c>
      <c r="R21" s="11">
        <f t="shared" si="11"/>
        <v>80643.252600000007</v>
      </c>
      <c r="S21" s="35">
        <f t="shared" si="20"/>
        <v>83062.550178000005</v>
      </c>
      <c r="T21" s="10">
        <f t="shared" si="12"/>
        <v>0</v>
      </c>
      <c r="U21" s="10">
        <f t="shared" si="13"/>
        <v>0</v>
      </c>
      <c r="V21" s="11">
        <f t="shared" si="14"/>
        <v>83062.550178000005</v>
      </c>
      <c r="W21" s="5"/>
      <c r="X21" s="5"/>
    </row>
    <row r="22" spans="1:24" x14ac:dyDescent="0.25">
      <c r="A22" s="26" t="s">
        <v>334</v>
      </c>
      <c r="B22" s="27">
        <v>1</v>
      </c>
      <c r="C22" s="316">
        <v>47109</v>
      </c>
      <c r="D22" s="28">
        <f t="shared" si="0"/>
        <v>0</v>
      </c>
      <c r="E22" s="28">
        <f t="shared" si="1"/>
        <v>0</v>
      </c>
      <c r="F22" s="29">
        <f t="shared" si="2"/>
        <v>47109</v>
      </c>
      <c r="G22" s="37">
        <f t="shared" si="17"/>
        <v>48522.270000000004</v>
      </c>
      <c r="H22" s="28">
        <f t="shared" si="3"/>
        <v>0</v>
      </c>
      <c r="I22" s="28">
        <f t="shared" si="4"/>
        <v>0</v>
      </c>
      <c r="J22" s="29">
        <f t="shared" si="5"/>
        <v>48522.270000000004</v>
      </c>
      <c r="K22" s="37">
        <f t="shared" si="18"/>
        <v>49977.938100000007</v>
      </c>
      <c r="L22" s="28">
        <f t="shared" si="6"/>
        <v>0</v>
      </c>
      <c r="M22" s="28">
        <f t="shared" si="7"/>
        <v>0</v>
      </c>
      <c r="N22" s="29">
        <f t="shared" si="8"/>
        <v>49977.938100000007</v>
      </c>
      <c r="O22" s="37">
        <f t="shared" si="19"/>
        <v>51477.276243000008</v>
      </c>
      <c r="P22" s="28">
        <f t="shared" si="9"/>
        <v>0</v>
      </c>
      <c r="Q22" s="28">
        <f t="shared" si="10"/>
        <v>0</v>
      </c>
      <c r="R22" s="29">
        <f t="shared" si="11"/>
        <v>51477.276243000008</v>
      </c>
      <c r="S22" s="37">
        <f t="shared" si="20"/>
        <v>53021.594530290007</v>
      </c>
      <c r="T22" s="28">
        <f t="shared" si="12"/>
        <v>0</v>
      </c>
      <c r="U22" s="28">
        <f t="shared" si="13"/>
        <v>0</v>
      </c>
      <c r="V22" s="29">
        <f t="shared" si="14"/>
        <v>53021.594530290007</v>
      </c>
      <c r="W22" s="5">
        <f t="shared" ref="W22:W27" si="21">AVERAGE(F22,J22,N22,R22,V22)</f>
        <v>50021.615774658007</v>
      </c>
      <c r="X22" s="5">
        <f t="shared" ref="X22:X27" si="22">SUM(F22,J22,N22,R22,V22)/$X$1</f>
        <v>4168.4679812215008</v>
      </c>
    </row>
    <row r="23" spans="1:24" x14ac:dyDescent="0.25">
      <c r="A23" s="24" t="s">
        <v>333</v>
      </c>
      <c r="B23" s="2">
        <v>2</v>
      </c>
      <c r="C23" s="317">
        <v>49273</v>
      </c>
      <c r="D23" s="7">
        <f t="shared" si="0"/>
        <v>0</v>
      </c>
      <c r="E23" s="7">
        <f t="shared" si="1"/>
        <v>0</v>
      </c>
      <c r="F23" s="8">
        <f t="shared" ref="F23:F28" si="23">SUM(C23:E23)</f>
        <v>49273</v>
      </c>
      <c r="G23" s="34">
        <f t="shared" si="17"/>
        <v>50751.19</v>
      </c>
      <c r="H23" s="7">
        <f t="shared" si="3"/>
        <v>0</v>
      </c>
      <c r="I23" s="7">
        <f t="shared" si="4"/>
        <v>0</v>
      </c>
      <c r="J23" s="8">
        <f t="shared" ref="J23:J28" si="24">SUM(G23:I23)</f>
        <v>50751.19</v>
      </c>
      <c r="K23" s="34">
        <f t="shared" si="18"/>
        <v>52273.725700000003</v>
      </c>
      <c r="L23" s="7">
        <f t="shared" si="6"/>
        <v>0</v>
      </c>
      <c r="M23" s="7">
        <f t="shared" si="7"/>
        <v>0</v>
      </c>
      <c r="N23" s="8">
        <f t="shared" ref="N23:N28" si="25">SUM(K23:M23)</f>
        <v>52273.725700000003</v>
      </c>
      <c r="O23" s="34">
        <f t="shared" si="19"/>
        <v>53841.937471000005</v>
      </c>
      <c r="P23" s="7">
        <f t="shared" si="9"/>
        <v>0</v>
      </c>
      <c r="Q23" s="7">
        <f t="shared" si="10"/>
        <v>0</v>
      </c>
      <c r="R23" s="8">
        <f t="shared" ref="R23:R28" si="26">SUM(O23:Q23)</f>
        <v>53841.937471000005</v>
      </c>
      <c r="S23" s="34">
        <f t="shared" si="20"/>
        <v>55457.195595130004</v>
      </c>
      <c r="T23" s="7">
        <f t="shared" si="12"/>
        <v>0</v>
      </c>
      <c r="U23" s="7">
        <f t="shared" si="13"/>
        <v>0</v>
      </c>
      <c r="V23" s="8">
        <f t="shared" ref="V23:V28" si="27">SUM(S23:U23)</f>
        <v>55457.195595130004</v>
      </c>
      <c r="W23" s="5">
        <f t="shared" si="21"/>
        <v>52319.409753226006</v>
      </c>
      <c r="X23" s="5">
        <f t="shared" si="22"/>
        <v>4359.9508127688341</v>
      </c>
    </row>
    <row r="24" spans="1:24" x14ac:dyDescent="0.25">
      <c r="A24" s="24" t="s">
        <v>332</v>
      </c>
      <c r="B24" s="2">
        <v>3</v>
      </c>
      <c r="C24" s="317">
        <v>51031</v>
      </c>
      <c r="D24" s="7">
        <f t="shared" si="0"/>
        <v>0</v>
      </c>
      <c r="E24" s="7">
        <f t="shared" si="1"/>
        <v>0</v>
      </c>
      <c r="F24" s="8">
        <f t="shared" si="23"/>
        <v>51031</v>
      </c>
      <c r="G24" s="34">
        <f t="shared" si="17"/>
        <v>52561.93</v>
      </c>
      <c r="H24" s="7">
        <f t="shared" si="3"/>
        <v>0</v>
      </c>
      <c r="I24" s="7">
        <f t="shared" si="4"/>
        <v>0</v>
      </c>
      <c r="J24" s="8">
        <f t="shared" si="24"/>
        <v>52561.93</v>
      </c>
      <c r="K24" s="34">
        <f t="shared" si="18"/>
        <v>54138.787900000003</v>
      </c>
      <c r="L24" s="7">
        <f t="shared" si="6"/>
        <v>0</v>
      </c>
      <c r="M24" s="7">
        <f t="shared" si="7"/>
        <v>0</v>
      </c>
      <c r="N24" s="8">
        <f t="shared" si="25"/>
        <v>54138.787900000003</v>
      </c>
      <c r="O24" s="34">
        <f t="shared" si="19"/>
        <v>55762.951537000008</v>
      </c>
      <c r="P24" s="7">
        <f t="shared" si="9"/>
        <v>0</v>
      </c>
      <c r="Q24" s="7">
        <f t="shared" si="10"/>
        <v>0</v>
      </c>
      <c r="R24" s="8">
        <f t="shared" si="26"/>
        <v>55762.951537000008</v>
      </c>
      <c r="S24" s="34">
        <f t="shared" si="20"/>
        <v>57435.840083110008</v>
      </c>
      <c r="T24" s="7">
        <f t="shared" si="12"/>
        <v>0</v>
      </c>
      <c r="U24" s="7">
        <f t="shared" si="13"/>
        <v>0</v>
      </c>
      <c r="V24" s="8">
        <f t="shared" si="27"/>
        <v>57435.840083110008</v>
      </c>
      <c r="W24" s="5">
        <f t="shared" si="21"/>
        <v>54186.101904022005</v>
      </c>
      <c r="X24" s="5">
        <f t="shared" si="22"/>
        <v>4515.5084920018335</v>
      </c>
    </row>
    <row r="25" spans="1:24" x14ac:dyDescent="0.25">
      <c r="A25" s="24" t="s">
        <v>331</v>
      </c>
      <c r="B25" s="2">
        <v>4</v>
      </c>
      <c r="C25" s="317">
        <v>53566</v>
      </c>
      <c r="D25" s="7">
        <f t="shared" si="0"/>
        <v>0</v>
      </c>
      <c r="E25" s="7">
        <f t="shared" si="1"/>
        <v>0</v>
      </c>
      <c r="F25" s="8">
        <f t="shared" si="23"/>
        <v>53566</v>
      </c>
      <c r="G25" s="34">
        <f t="shared" si="17"/>
        <v>55172.98</v>
      </c>
      <c r="H25" s="7">
        <f t="shared" si="3"/>
        <v>0</v>
      </c>
      <c r="I25" s="7">
        <f t="shared" si="4"/>
        <v>0</v>
      </c>
      <c r="J25" s="8">
        <f t="shared" si="24"/>
        <v>55172.98</v>
      </c>
      <c r="K25" s="34">
        <f t="shared" si="18"/>
        <v>56828.169400000006</v>
      </c>
      <c r="L25" s="7">
        <f t="shared" si="6"/>
        <v>0</v>
      </c>
      <c r="M25" s="7">
        <f t="shared" si="7"/>
        <v>0</v>
      </c>
      <c r="N25" s="8">
        <f t="shared" si="25"/>
        <v>56828.169400000006</v>
      </c>
      <c r="O25" s="34">
        <f t="shared" si="19"/>
        <v>58533.014482000006</v>
      </c>
      <c r="P25" s="7">
        <f t="shared" si="9"/>
        <v>0</v>
      </c>
      <c r="Q25" s="7">
        <f t="shared" si="10"/>
        <v>0</v>
      </c>
      <c r="R25" s="8">
        <f t="shared" si="26"/>
        <v>58533.014482000006</v>
      </c>
      <c r="S25" s="34">
        <f t="shared" si="20"/>
        <v>60289.004916460006</v>
      </c>
      <c r="T25" s="7">
        <f t="shared" si="12"/>
        <v>0</v>
      </c>
      <c r="U25" s="7">
        <f t="shared" si="13"/>
        <v>0</v>
      </c>
      <c r="V25" s="8">
        <f t="shared" si="27"/>
        <v>60289.004916460006</v>
      </c>
      <c r="W25" s="5">
        <f t="shared" si="21"/>
        <v>56877.83375969201</v>
      </c>
      <c r="X25" s="5">
        <f t="shared" si="22"/>
        <v>4739.8194799743342</v>
      </c>
    </row>
    <row r="26" spans="1:24" x14ac:dyDescent="0.25">
      <c r="A26" s="24" t="s">
        <v>330</v>
      </c>
      <c r="B26" s="2">
        <v>5</v>
      </c>
      <c r="C26" s="317">
        <v>55747</v>
      </c>
      <c r="D26" s="7">
        <f t="shared" si="0"/>
        <v>0</v>
      </c>
      <c r="E26" s="7">
        <f t="shared" si="1"/>
        <v>0</v>
      </c>
      <c r="F26" s="8">
        <f t="shared" si="23"/>
        <v>55747</v>
      </c>
      <c r="G26" s="34">
        <f t="shared" si="17"/>
        <v>57419.41</v>
      </c>
      <c r="H26" s="7">
        <f t="shared" si="3"/>
        <v>0</v>
      </c>
      <c r="I26" s="7">
        <f t="shared" si="4"/>
        <v>0</v>
      </c>
      <c r="J26" s="8">
        <f t="shared" si="24"/>
        <v>57419.41</v>
      </c>
      <c r="K26" s="34">
        <f t="shared" si="18"/>
        <v>59141.992300000005</v>
      </c>
      <c r="L26" s="7">
        <f t="shared" si="6"/>
        <v>0</v>
      </c>
      <c r="M26" s="7">
        <f t="shared" si="7"/>
        <v>0</v>
      </c>
      <c r="N26" s="8">
        <f t="shared" si="25"/>
        <v>59141.992300000005</v>
      </c>
      <c r="O26" s="34">
        <f t="shared" si="19"/>
        <v>60916.252069000009</v>
      </c>
      <c r="P26" s="7">
        <f t="shared" si="9"/>
        <v>0</v>
      </c>
      <c r="Q26" s="7">
        <f t="shared" si="10"/>
        <v>0</v>
      </c>
      <c r="R26" s="8">
        <f t="shared" si="26"/>
        <v>60916.252069000009</v>
      </c>
      <c r="S26" s="34">
        <f t="shared" si="20"/>
        <v>62743.739631070013</v>
      </c>
      <c r="T26" s="7">
        <f t="shared" si="12"/>
        <v>0</v>
      </c>
      <c r="U26" s="7">
        <f t="shared" si="13"/>
        <v>0</v>
      </c>
      <c r="V26" s="8">
        <f t="shared" si="27"/>
        <v>62743.739631070013</v>
      </c>
      <c r="W26" s="5">
        <f t="shared" si="21"/>
        <v>59193.678800014008</v>
      </c>
      <c r="X26" s="5">
        <f t="shared" si="22"/>
        <v>4932.806566667834</v>
      </c>
    </row>
    <row r="27" spans="1:24" x14ac:dyDescent="0.25">
      <c r="A27" s="24" t="s">
        <v>329</v>
      </c>
      <c r="B27" s="2">
        <v>6</v>
      </c>
      <c r="C27" s="317">
        <v>58085</v>
      </c>
      <c r="D27" s="7">
        <f t="shared" si="0"/>
        <v>0</v>
      </c>
      <c r="E27" s="7">
        <f t="shared" si="1"/>
        <v>0</v>
      </c>
      <c r="F27" s="8">
        <f t="shared" si="23"/>
        <v>58085</v>
      </c>
      <c r="G27" s="34">
        <f t="shared" si="17"/>
        <v>59827.55</v>
      </c>
      <c r="H27" s="7">
        <f t="shared" si="3"/>
        <v>0</v>
      </c>
      <c r="I27" s="7">
        <f t="shared" si="4"/>
        <v>0</v>
      </c>
      <c r="J27" s="8">
        <f t="shared" si="24"/>
        <v>59827.55</v>
      </c>
      <c r="K27" s="34">
        <f t="shared" si="18"/>
        <v>61622.376500000006</v>
      </c>
      <c r="L27" s="7">
        <f t="shared" si="6"/>
        <v>0</v>
      </c>
      <c r="M27" s="7">
        <f t="shared" si="7"/>
        <v>0</v>
      </c>
      <c r="N27" s="8">
        <f t="shared" si="25"/>
        <v>61622.376500000006</v>
      </c>
      <c r="O27" s="34">
        <f t="shared" si="19"/>
        <v>63471.047795000006</v>
      </c>
      <c r="P27" s="7">
        <f t="shared" si="9"/>
        <v>0</v>
      </c>
      <c r="Q27" s="7">
        <f t="shared" si="10"/>
        <v>0</v>
      </c>
      <c r="R27" s="8">
        <f t="shared" si="26"/>
        <v>63471.047795000006</v>
      </c>
      <c r="S27" s="34">
        <f t="shared" si="20"/>
        <v>65375.179228850007</v>
      </c>
      <c r="T27" s="7">
        <f t="shared" si="12"/>
        <v>0</v>
      </c>
      <c r="U27" s="7">
        <f t="shared" si="13"/>
        <v>0</v>
      </c>
      <c r="V27" s="8">
        <f t="shared" si="27"/>
        <v>65375.179228850007</v>
      </c>
      <c r="W27" s="5">
        <f t="shared" si="21"/>
        <v>61676.230704770001</v>
      </c>
      <c r="X27" s="5">
        <f t="shared" si="22"/>
        <v>5139.6858920641671</v>
      </c>
    </row>
    <row r="28" spans="1:24" ht="15.75" thickBot="1" x14ac:dyDescent="0.3">
      <c r="A28" s="25" t="s">
        <v>328</v>
      </c>
      <c r="B28" s="9">
        <v>7</v>
      </c>
      <c r="C28" s="318">
        <v>60335</v>
      </c>
      <c r="D28" s="10">
        <f t="shared" si="0"/>
        <v>0</v>
      </c>
      <c r="E28" s="10">
        <f t="shared" si="1"/>
        <v>0</v>
      </c>
      <c r="F28" s="11">
        <f t="shared" si="23"/>
        <v>60335</v>
      </c>
      <c r="G28" s="35">
        <f t="shared" si="17"/>
        <v>62145.05</v>
      </c>
      <c r="H28" s="10">
        <f t="shared" si="3"/>
        <v>0</v>
      </c>
      <c r="I28" s="10">
        <f t="shared" si="4"/>
        <v>0</v>
      </c>
      <c r="J28" s="11">
        <f t="shared" si="24"/>
        <v>62145.05</v>
      </c>
      <c r="K28" s="35">
        <f t="shared" si="18"/>
        <v>64009.401500000007</v>
      </c>
      <c r="L28" s="10">
        <f t="shared" si="6"/>
        <v>0</v>
      </c>
      <c r="M28" s="10">
        <f t="shared" si="7"/>
        <v>0</v>
      </c>
      <c r="N28" s="11">
        <f t="shared" si="25"/>
        <v>64009.401500000007</v>
      </c>
      <c r="O28" s="35">
        <f t="shared" si="19"/>
        <v>65929.683545000007</v>
      </c>
      <c r="P28" s="10">
        <f t="shared" si="9"/>
        <v>0</v>
      </c>
      <c r="Q28" s="10">
        <f t="shared" si="10"/>
        <v>0</v>
      </c>
      <c r="R28" s="11">
        <f t="shared" si="26"/>
        <v>65929.683545000007</v>
      </c>
      <c r="S28" s="35">
        <f t="shared" si="20"/>
        <v>67907.574051350006</v>
      </c>
      <c r="T28" s="10">
        <f t="shared" si="12"/>
        <v>0</v>
      </c>
      <c r="U28" s="10">
        <f t="shared" si="13"/>
        <v>0</v>
      </c>
      <c r="V28" s="11">
        <f t="shared" si="27"/>
        <v>67907.574051350006</v>
      </c>
      <c r="W28" s="5"/>
      <c r="X28" s="5"/>
    </row>
    <row r="29" spans="1:24" x14ac:dyDescent="0.25">
      <c r="A29" s="24" t="s">
        <v>327</v>
      </c>
      <c r="B29" s="2">
        <v>1</v>
      </c>
      <c r="C29" s="317">
        <v>44906</v>
      </c>
      <c r="D29" s="7">
        <f t="shared" si="0"/>
        <v>0</v>
      </c>
      <c r="E29" s="7">
        <f t="shared" si="1"/>
        <v>0</v>
      </c>
      <c r="F29" s="8">
        <f>SUM(C29:E29)</f>
        <v>44906</v>
      </c>
      <c r="G29" s="34">
        <f t="shared" si="17"/>
        <v>46253.18</v>
      </c>
      <c r="H29" s="7">
        <f t="shared" si="3"/>
        <v>0</v>
      </c>
      <c r="I29" s="7">
        <f t="shared" si="4"/>
        <v>0</v>
      </c>
      <c r="J29" s="8">
        <f>SUM(G29:I29)</f>
        <v>46253.18</v>
      </c>
      <c r="K29" s="34">
        <f t="shared" si="18"/>
        <v>47640.775399999999</v>
      </c>
      <c r="L29" s="7">
        <f t="shared" si="6"/>
        <v>0</v>
      </c>
      <c r="M29" s="7">
        <f t="shared" si="7"/>
        <v>0</v>
      </c>
      <c r="N29" s="8">
        <f>SUM(K29:M29)</f>
        <v>47640.775399999999</v>
      </c>
      <c r="O29" s="34">
        <f t="shared" si="19"/>
        <v>49069.998661999998</v>
      </c>
      <c r="P29" s="7">
        <f t="shared" si="9"/>
        <v>0</v>
      </c>
      <c r="Q29" s="7">
        <f t="shared" si="10"/>
        <v>0</v>
      </c>
      <c r="R29" s="8">
        <f>SUM(O29:Q29)</f>
        <v>49069.998661999998</v>
      </c>
      <c r="S29" s="34">
        <f t="shared" si="20"/>
        <v>50542.098621860001</v>
      </c>
      <c r="T29" s="7">
        <f t="shared" si="12"/>
        <v>0</v>
      </c>
      <c r="U29" s="7">
        <f t="shared" si="13"/>
        <v>0</v>
      </c>
      <c r="V29" s="8">
        <f>SUM(S29:U29)</f>
        <v>50542.098621860001</v>
      </c>
      <c r="W29" s="5"/>
      <c r="X29" s="5"/>
    </row>
    <row r="30" spans="1:24" x14ac:dyDescent="0.25">
      <c r="A30" s="24" t="s">
        <v>326</v>
      </c>
      <c r="B30" s="2">
        <v>2</v>
      </c>
      <c r="C30" s="317">
        <v>46961</v>
      </c>
      <c r="D30" s="7">
        <f t="shared" si="0"/>
        <v>0</v>
      </c>
      <c r="E30" s="7">
        <f t="shared" si="1"/>
        <v>0</v>
      </c>
      <c r="F30" s="8">
        <f t="shared" ref="F30:F35" si="28">SUM(C30:E30)</f>
        <v>46961</v>
      </c>
      <c r="G30" s="34">
        <f t="shared" si="17"/>
        <v>48369.83</v>
      </c>
      <c r="H30" s="7">
        <f t="shared" si="3"/>
        <v>0</v>
      </c>
      <c r="I30" s="7">
        <f t="shared" si="4"/>
        <v>0</v>
      </c>
      <c r="J30" s="8">
        <f t="shared" ref="J30:J35" si="29">SUM(G30:I30)</f>
        <v>48369.83</v>
      </c>
      <c r="K30" s="34">
        <f t="shared" si="18"/>
        <v>49820.924900000005</v>
      </c>
      <c r="L30" s="7">
        <f t="shared" si="6"/>
        <v>0</v>
      </c>
      <c r="M30" s="7">
        <f t="shared" si="7"/>
        <v>0</v>
      </c>
      <c r="N30" s="8">
        <f t="shared" ref="N30:N35" si="30">SUM(K30:M30)</f>
        <v>49820.924900000005</v>
      </c>
      <c r="O30" s="34">
        <f t="shared" si="19"/>
        <v>51315.552647000004</v>
      </c>
      <c r="P30" s="7">
        <f t="shared" si="9"/>
        <v>0</v>
      </c>
      <c r="Q30" s="7">
        <f t="shared" si="10"/>
        <v>0</v>
      </c>
      <c r="R30" s="8">
        <f t="shared" ref="R30:R35" si="31">SUM(O30:Q30)</f>
        <v>51315.552647000004</v>
      </c>
      <c r="S30" s="34">
        <f t="shared" si="20"/>
        <v>52855.019226410004</v>
      </c>
      <c r="T30" s="7">
        <f t="shared" si="12"/>
        <v>0</v>
      </c>
      <c r="U30" s="7">
        <f t="shared" si="13"/>
        <v>0</v>
      </c>
      <c r="V30" s="8">
        <f t="shared" ref="V30:V35" si="32">SUM(S30:U30)</f>
        <v>52855.019226410004</v>
      </c>
      <c r="W30" s="5"/>
      <c r="X30" s="5"/>
    </row>
    <row r="31" spans="1:24" x14ac:dyDescent="0.25">
      <c r="A31" s="24" t="s">
        <v>325</v>
      </c>
      <c r="B31" s="2">
        <v>3</v>
      </c>
      <c r="C31" s="317">
        <v>48632</v>
      </c>
      <c r="D31" s="7">
        <f t="shared" si="0"/>
        <v>0</v>
      </c>
      <c r="E31" s="7">
        <f t="shared" si="1"/>
        <v>0</v>
      </c>
      <c r="F31" s="8">
        <f t="shared" si="28"/>
        <v>48632</v>
      </c>
      <c r="G31" s="34">
        <f t="shared" si="17"/>
        <v>50090.96</v>
      </c>
      <c r="H31" s="7">
        <f t="shared" si="3"/>
        <v>0</v>
      </c>
      <c r="I31" s="7">
        <f t="shared" si="4"/>
        <v>0</v>
      </c>
      <c r="J31" s="8">
        <f t="shared" si="29"/>
        <v>50090.96</v>
      </c>
      <c r="K31" s="34">
        <f t="shared" si="18"/>
        <v>51593.688800000004</v>
      </c>
      <c r="L31" s="7">
        <f t="shared" si="6"/>
        <v>0</v>
      </c>
      <c r="M31" s="7">
        <f t="shared" si="7"/>
        <v>0</v>
      </c>
      <c r="N31" s="8">
        <f t="shared" si="30"/>
        <v>51593.688800000004</v>
      </c>
      <c r="O31" s="34">
        <f t="shared" si="19"/>
        <v>53141.499464000008</v>
      </c>
      <c r="P31" s="7">
        <f t="shared" si="9"/>
        <v>0</v>
      </c>
      <c r="Q31" s="7">
        <f t="shared" si="10"/>
        <v>0</v>
      </c>
      <c r="R31" s="8">
        <f t="shared" si="31"/>
        <v>53141.499464000008</v>
      </c>
      <c r="S31" s="34">
        <f t="shared" si="20"/>
        <v>54735.744447920006</v>
      </c>
      <c r="T31" s="7">
        <f t="shared" si="12"/>
        <v>0</v>
      </c>
      <c r="U31" s="7">
        <f t="shared" si="13"/>
        <v>0</v>
      </c>
      <c r="V31" s="8">
        <f t="shared" si="32"/>
        <v>54735.744447920006</v>
      </c>
      <c r="W31" s="5"/>
      <c r="X31" s="5"/>
    </row>
    <row r="32" spans="1:24" x14ac:dyDescent="0.25">
      <c r="A32" s="24" t="s">
        <v>324</v>
      </c>
      <c r="B32" s="2">
        <v>4</v>
      </c>
      <c r="C32" s="317">
        <v>51023</v>
      </c>
      <c r="D32" s="7">
        <f t="shared" si="0"/>
        <v>0</v>
      </c>
      <c r="E32" s="7">
        <f t="shared" si="1"/>
        <v>0</v>
      </c>
      <c r="F32" s="8">
        <f t="shared" si="28"/>
        <v>51023</v>
      </c>
      <c r="G32" s="34">
        <f t="shared" si="17"/>
        <v>52553.69</v>
      </c>
      <c r="H32" s="7">
        <f t="shared" si="3"/>
        <v>0</v>
      </c>
      <c r="I32" s="7">
        <f t="shared" si="4"/>
        <v>0</v>
      </c>
      <c r="J32" s="8">
        <f t="shared" si="29"/>
        <v>52553.69</v>
      </c>
      <c r="K32" s="34">
        <f t="shared" si="18"/>
        <v>54130.300700000007</v>
      </c>
      <c r="L32" s="7">
        <f t="shared" si="6"/>
        <v>0</v>
      </c>
      <c r="M32" s="7">
        <f t="shared" si="7"/>
        <v>0</v>
      </c>
      <c r="N32" s="8">
        <f t="shared" si="30"/>
        <v>54130.300700000007</v>
      </c>
      <c r="O32" s="34">
        <f t="shared" si="19"/>
        <v>55754.209721000007</v>
      </c>
      <c r="P32" s="7">
        <f t="shared" si="9"/>
        <v>0</v>
      </c>
      <c r="Q32" s="7">
        <f t="shared" si="10"/>
        <v>0</v>
      </c>
      <c r="R32" s="8">
        <f t="shared" si="31"/>
        <v>55754.209721000007</v>
      </c>
      <c r="S32" s="34">
        <f t="shared" si="20"/>
        <v>57426.83601263001</v>
      </c>
      <c r="T32" s="7">
        <f t="shared" si="12"/>
        <v>0</v>
      </c>
      <c r="U32" s="7">
        <f t="shared" si="13"/>
        <v>0</v>
      </c>
      <c r="V32" s="8">
        <f t="shared" si="32"/>
        <v>57426.83601263001</v>
      </c>
      <c r="W32" s="5"/>
      <c r="X32" s="5"/>
    </row>
    <row r="33" spans="1:24" x14ac:dyDescent="0.25">
      <c r="A33" s="24" t="s">
        <v>323</v>
      </c>
      <c r="B33" s="2">
        <v>5</v>
      </c>
      <c r="C33" s="317">
        <v>53074</v>
      </c>
      <c r="D33" s="7">
        <f t="shared" si="0"/>
        <v>0</v>
      </c>
      <c r="E33" s="7">
        <f t="shared" si="1"/>
        <v>0</v>
      </c>
      <c r="F33" s="8">
        <f t="shared" si="28"/>
        <v>53074</v>
      </c>
      <c r="G33" s="34">
        <f t="shared" si="17"/>
        <v>54666.22</v>
      </c>
      <c r="H33" s="7">
        <f t="shared" si="3"/>
        <v>0</v>
      </c>
      <c r="I33" s="7">
        <f t="shared" si="4"/>
        <v>0</v>
      </c>
      <c r="J33" s="8">
        <f t="shared" si="29"/>
        <v>54666.22</v>
      </c>
      <c r="K33" s="34">
        <f t="shared" si="18"/>
        <v>56306.206600000005</v>
      </c>
      <c r="L33" s="7">
        <f t="shared" si="6"/>
        <v>0</v>
      </c>
      <c r="M33" s="7">
        <f t="shared" si="7"/>
        <v>0</v>
      </c>
      <c r="N33" s="8">
        <f t="shared" si="30"/>
        <v>56306.206600000005</v>
      </c>
      <c r="O33" s="34">
        <f t="shared" si="19"/>
        <v>57995.392798000008</v>
      </c>
      <c r="P33" s="7">
        <f t="shared" si="9"/>
        <v>0</v>
      </c>
      <c r="Q33" s="7">
        <f t="shared" si="10"/>
        <v>0</v>
      </c>
      <c r="R33" s="8">
        <f t="shared" si="31"/>
        <v>57995.392798000008</v>
      </c>
      <c r="S33" s="34">
        <f t="shared" si="20"/>
        <v>59735.254581940011</v>
      </c>
      <c r="T33" s="7">
        <f t="shared" si="12"/>
        <v>0</v>
      </c>
      <c r="U33" s="7">
        <f t="shared" si="13"/>
        <v>0</v>
      </c>
      <c r="V33" s="8">
        <f t="shared" si="32"/>
        <v>59735.254581940011</v>
      </c>
      <c r="W33" s="5"/>
      <c r="X33" s="5"/>
    </row>
    <row r="34" spans="1:24" x14ac:dyDescent="0.25">
      <c r="A34" s="24" t="s">
        <v>322</v>
      </c>
      <c r="B34" s="2">
        <v>6</v>
      </c>
      <c r="C34" s="317">
        <v>55280</v>
      </c>
      <c r="D34" s="7">
        <f t="shared" si="0"/>
        <v>0</v>
      </c>
      <c r="E34" s="7">
        <f t="shared" si="1"/>
        <v>0</v>
      </c>
      <c r="F34" s="8">
        <f t="shared" si="28"/>
        <v>55280</v>
      </c>
      <c r="G34" s="34">
        <f t="shared" si="17"/>
        <v>56938.400000000001</v>
      </c>
      <c r="H34" s="7">
        <f t="shared" si="3"/>
        <v>0</v>
      </c>
      <c r="I34" s="7">
        <f t="shared" si="4"/>
        <v>0</v>
      </c>
      <c r="J34" s="8">
        <f t="shared" si="29"/>
        <v>56938.400000000001</v>
      </c>
      <c r="K34" s="34">
        <f t="shared" si="18"/>
        <v>58646.552000000003</v>
      </c>
      <c r="L34" s="7">
        <f t="shared" si="6"/>
        <v>0</v>
      </c>
      <c r="M34" s="7">
        <f t="shared" si="7"/>
        <v>0</v>
      </c>
      <c r="N34" s="8">
        <f t="shared" si="30"/>
        <v>58646.552000000003</v>
      </c>
      <c r="O34" s="34">
        <f t="shared" si="19"/>
        <v>60405.948560000004</v>
      </c>
      <c r="P34" s="7">
        <f t="shared" si="9"/>
        <v>0</v>
      </c>
      <c r="Q34" s="7">
        <f t="shared" si="10"/>
        <v>0</v>
      </c>
      <c r="R34" s="8">
        <f t="shared" si="31"/>
        <v>60405.948560000004</v>
      </c>
      <c r="S34" s="34">
        <f t="shared" si="20"/>
        <v>62218.127016800005</v>
      </c>
      <c r="T34" s="7">
        <f t="shared" si="12"/>
        <v>0</v>
      </c>
      <c r="U34" s="7">
        <f t="shared" si="13"/>
        <v>0</v>
      </c>
      <c r="V34" s="8">
        <f t="shared" si="32"/>
        <v>62218.127016800005</v>
      </c>
      <c r="W34" s="5">
        <f t="shared" ref="W34:W40" si="33">AVERAGE(F34,J34,N34,R34,V34)</f>
        <v>58697.805515359993</v>
      </c>
      <c r="X34" s="5">
        <f t="shared" ref="X34:X40" si="34">SUM(F34,J34,N34,R34,V34)/$X$1</f>
        <v>4891.4837929466657</v>
      </c>
    </row>
    <row r="35" spans="1:24" ht="15.75" thickBot="1" x14ac:dyDescent="0.3">
      <c r="A35" s="24" t="s">
        <v>321</v>
      </c>
      <c r="B35" s="2">
        <v>7</v>
      </c>
      <c r="C35" s="317">
        <v>57409</v>
      </c>
      <c r="D35" s="7">
        <f t="shared" si="0"/>
        <v>0</v>
      </c>
      <c r="E35" s="7">
        <f t="shared" si="1"/>
        <v>0</v>
      </c>
      <c r="F35" s="8">
        <f t="shared" si="28"/>
        <v>57409</v>
      </c>
      <c r="G35" s="34">
        <f t="shared" si="17"/>
        <v>59131.270000000004</v>
      </c>
      <c r="H35" s="7">
        <f t="shared" si="3"/>
        <v>0</v>
      </c>
      <c r="I35" s="7">
        <f t="shared" si="4"/>
        <v>0</v>
      </c>
      <c r="J35" s="8">
        <f t="shared" si="29"/>
        <v>59131.270000000004</v>
      </c>
      <c r="K35" s="34">
        <f t="shared" si="18"/>
        <v>60905.208100000003</v>
      </c>
      <c r="L35" s="7">
        <f t="shared" si="6"/>
        <v>0</v>
      </c>
      <c r="M35" s="7">
        <f t="shared" si="7"/>
        <v>0</v>
      </c>
      <c r="N35" s="8">
        <f t="shared" si="30"/>
        <v>60905.208100000003</v>
      </c>
      <c r="O35" s="34">
        <f t="shared" si="19"/>
        <v>62732.364343000008</v>
      </c>
      <c r="P35" s="7">
        <f t="shared" si="9"/>
        <v>0</v>
      </c>
      <c r="Q35" s="7">
        <f t="shared" si="10"/>
        <v>0</v>
      </c>
      <c r="R35" s="8">
        <f t="shared" si="31"/>
        <v>62732.364343000008</v>
      </c>
      <c r="S35" s="34">
        <f t="shared" si="20"/>
        <v>64614.335273290009</v>
      </c>
      <c r="T35" s="7">
        <f t="shared" si="12"/>
        <v>0</v>
      </c>
      <c r="U35" s="7">
        <f t="shared" si="13"/>
        <v>0</v>
      </c>
      <c r="V35" s="8">
        <f t="shared" si="32"/>
        <v>64614.335273290009</v>
      </c>
      <c r="W35" s="5">
        <f t="shared" si="33"/>
        <v>60958.435543257998</v>
      </c>
      <c r="X35" s="5">
        <f t="shared" si="34"/>
        <v>5079.8696286048335</v>
      </c>
    </row>
    <row r="36" spans="1:24" x14ac:dyDescent="0.25">
      <c r="A36" s="26" t="s">
        <v>320</v>
      </c>
      <c r="B36" s="27">
        <v>1</v>
      </c>
      <c r="C36" s="316">
        <v>48381</v>
      </c>
      <c r="D36" s="28">
        <f t="shared" si="0"/>
        <v>0</v>
      </c>
      <c r="E36" s="28">
        <f t="shared" si="1"/>
        <v>0</v>
      </c>
      <c r="F36" s="29">
        <f>SUM(C36:E36)</f>
        <v>48381</v>
      </c>
      <c r="G36" s="37">
        <f t="shared" si="17"/>
        <v>49832.43</v>
      </c>
      <c r="H36" s="28">
        <f t="shared" si="3"/>
        <v>0</v>
      </c>
      <c r="I36" s="28">
        <f t="shared" si="4"/>
        <v>0</v>
      </c>
      <c r="J36" s="29">
        <f>SUM(G36:I36)</f>
        <v>49832.43</v>
      </c>
      <c r="K36" s="37">
        <f t="shared" si="18"/>
        <v>51327.402900000001</v>
      </c>
      <c r="L36" s="28">
        <f t="shared" si="6"/>
        <v>0</v>
      </c>
      <c r="M36" s="28">
        <f t="shared" si="7"/>
        <v>0</v>
      </c>
      <c r="N36" s="29">
        <f>SUM(K36:M36)</f>
        <v>51327.402900000001</v>
      </c>
      <c r="O36" s="37">
        <f t="shared" si="19"/>
        <v>52867.224987000001</v>
      </c>
      <c r="P36" s="28">
        <f t="shared" si="9"/>
        <v>0</v>
      </c>
      <c r="Q36" s="28">
        <f t="shared" si="10"/>
        <v>0</v>
      </c>
      <c r="R36" s="29">
        <f>SUM(O36:Q36)</f>
        <v>52867.224987000001</v>
      </c>
      <c r="S36" s="37">
        <f t="shared" si="20"/>
        <v>54453.241736610005</v>
      </c>
      <c r="T36" s="28">
        <f t="shared" si="12"/>
        <v>0</v>
      </c>
      <c r="U36" s="28">
        <f t="shared" si="13"/>
        <v>0</v>
      </c>
      <c r="V36" s="29">
        <f>SUM(S36:U36)</f>
        <v>54453.241736610005</v>
      </c>
      <c r="W36" s="5">
        <f t="shared" si="33"/>
        <v>51372.259924721999</v>
      </c>
      <c r="X36" s="5">
        <f t="shared" si="34"/>
        <v>4281.0216603934996</v>
      </c>
    </row>
    <row r="37" spans="1:24" x14ac:dyDescent="0.25">
      <c r="A37" s="24" t="s">
        <v>319</v>
      </c>
      <c r="B37" s="2">
        <v>2</v>
      </c>
      <c r="C37" s="317">
        <v>50455</v>
      </c>
      <c r="D37" s="7">
        <f t="shared" si="0"/>
        <v>0</v>
      </c>
      <c r="E37" s="7">
        <f t="shared" si="1"/>
        <v>0</v>
      </c>
      <c r="F37" s="8">
        <f t="shared" ref="F37:F44" si="35">SUM(C37:E37)</f>
        <v>50455</v>
      </c>
      <c r="G37" s="34">
        <f t="shared" si="17"/>
        <v>51968.65</v>
      </c>
      <c r="H37" s="7">
        <f t="shared" si="3"/>
        <v>0</v>
      </c>
      <c r="I37" s="7">
        <f t="shared" si="4"/>
        <v>0</v>
      </c>
      <c r="J37" s="8">
        <f t="shared" ref="J37:J44" si="36">SUM(G37:I37)</f>
        <v>51968.65</v>
      </c>
      <c r="K37" s="34">
        <f t="shared" si="18"/>
        <v>53527.709500000004</v>
      </c>
      <c r="L37" s="7">
        <f t="shared" si="6"/>
        <v>0</v>
      </c>
      <c r="M37" s="7">
        <f t="shared" si="7"/>
        <v>0</v>
      </c>
      <c r="N37" s="8">
        <f t="shared" ref="N37:N44" si="37">SUM(K37:M37)</f>
        <v>53527.709500000004</v>
      </c>
      <c r="O37" s="34">
        <f t="shared" si="19"/>
        <v>55133.540785000005</v>
      </c>
      <c r="P37" s="7">
        <f t="shared" si="9"/>
        <v>0</v>
      </c>
      <c r="Q37" s="7">
        <f t="shared" si="10"/>
        <v>0</v>
      </c>
      <c r="R37" s="8">
        <f t="shared" ref="R37:R44" si="38">SUM(O37:Q37)</f>
        <v>55133.540785000005</v>
      </c>
      <c r="S37" s="34">
        <f t="shared" si="20"/>
        <v>56787.547008550006</v>
      </c>
      <c r="T37" s="7">
        <f t="shared" si="12"/>
        <v>0</v>
      </c>
      <c r="U37" s="7">
        <f t="shared" si="13"/>
        <v>0</v>
      </c>
      <c r="V37" s="8">
        <f t="shared" ref="V37:V44" si="39">SUM(S37:U37)</f>
        <v>56787.547008550006</v>
      </c>
      <c r="W37" s="5">
        <f t="shared" si="33"/>
        <v>53574.489458709999</v>
      </c>
      <c r="X37" s="5">
        <f t="shared" si="34"/>
        <v>4464.5407882258332</v>
      </c>
    </row>
    <row r="38" spans="1:24" x14ac:dyDescent="0.25">
      <c r="A38" s="24" t="s">
        <v>318</v>
      </c>
      <c r="B38" s="2">
        <v>3</v>
      </c>
      <c r="C38" s="317">
        <v>52534</v>
      </c>
      <c r="D38" s="7">
        <f t="shared" si="0"/>
        <v>0</v>
      </c>
      <c r="E38" s="7">
        <f t="shared" si="1"/>
        <v>0</v>
      </c>
      <c r="F38" s="8">
        <f t="shared" si="35"/>
        <v>52534</v>
      </c>
      <c r="G38" s="34">
        <f t="shared" si="17"/>
        <v>54110.020000000004</v>
      </c>
      <c r="H38" s="7">
        <f t="shared" si="3"/>
        <v>0</v>
      </c>
      <c r="I38" s="7">
        <f t="shared" si="4"/>
        <v>0</v>
      </c>
      <c r="J38" s="8">
        <f t="shared" si="36"/>
        <v>54110.020000000004</v>
      </c>
      <c r="K38" s="34">
        <f t="shared" si="18"/>
        <v>55733.320600000006</v>
      </c>
      <c r="L38" s="7">
        <f t="shared" si="6"/>
        <v>0</v>
      </c>
      <c r="M38" s="7">
        <f t="shared" si="7"/>
        <v>0</v>
      </c>
      <c r="N38" s="8">
        <f t="shared" si="37"/>
        <v>55733.320600000006</v>
      </c>
      <c r="O38" s="34">
        <f t="shared" si="19"/>
        <v>57405.320218000008</v>
      </c>
      <c r="P38" s="7">
        <f t="shared" si="9"/>
        <v>0</v>
      </c>
      <c r="Q38" s="7">
        <f t="shared" si="10"/>
        <v>0</v>
      </c>
      <c r="R38" s="8">
        <f t="shared" si="38"/>
        <v>57405.320218000008</v>
      </c>
      <c r="S38" s="34">
        <f t="shared" si="20"/>
        <v>59127.479824540009</v>
      </c>
      <c r="T38" s="7">
        <f t="shared" si="12"/>
        <v>0</v>
      </c>
      <c r="U38" s="7">
        <f t="shared" si="13"/>
        <v>0</v>
      </c>
      <c r="V38" s="8">
        <f t="shared" si="39"/>
        <v>59127.479824540009</v>
      </c>
      <c r="W38" s="5">
        <f t="shared" si="33"/>
        <v>55782.028128507998</v>
      </c>
      <c r="X38" s="5">
        <f t="shared" si="34"/>
        <v>4648.5023440423338</v>
      </c>
    </row>
    <row r="39" spans="1:24" x14ac:dyDescent="0.25">
      <c r="A39" s="24" t="s">
        <v>317</v>
      </c>
      <c r="B39" s="2">
        <v>4</v>
      </c>
      <c r="C39" s="317">
        <v>54602</v>
      </c>
      <c r="D39" s="7">
        <f t="shared" si="0"/>
        <v>0</v>
      </c>
      <c r="E39" s="7">
        <f t="shared" si="1"/>
        <v>0</v>
      </c>
      <c r="F39" s="8">
        <f t="shared" si="35"/>
        <v>54602</v>
      </c>
      <c r="G39" s="34">
        <f t="shared" si="17"/>
        <v>56240.060000000005</v>
      </c>
      <c r="H39" s="7">
        <f t="shared" si="3"/>
        <v>0</v>
      </c>
      <c r="I39" s="7">
        <f t="shared" si="4"/>
        <v>0</v>
      </c>
      <c r="J39" s="8">
        <f t="shared" si="36"/>
        <v>56240.060000000005</v>
      </c>
      <c r="K39" s="34">
        <f t="shared" si="18"/>
        <v>57927.261800000007</v>
      </c>
      <c r="L39" s="7">
        <f t="shared" si="6"/>
        <v>0</v>
      </c>
      <c r="M39" s="7">
        <f t="shared" si="7"/>
        <v>0</v>
      </c>
      <c r="N39" s="8">
        <f t="shared" si="37"/>
        <v>57927.261800000007</v>
      </c>
      <c r="O39" s="34">
        <f t="shared" si="19"/>
        <v>59665.079654000008</v>
      </c>
      <c r="P39" s="7">
        <f t="shared" si="9"/>
        <v>0</v>
      </c>
      <c r="Q39" s="7">
        <f t="shared" si="10"/>
        <v>0</v>
      </c>
      <c r="R39" s="8">
        <f t="shared" si="38"/>
        <v>59665.079654000008</v>
      </c>
      <c r="S39" s="34">
        <f t="shared" si="20"/>
        <v>61455.032043620013</v>
      </c>
      <c r="T39" s="7">
        <f t="shared" si="12"/>
        <v>0</v>
      </c>
      <c r="U39" s="7">
        <f t="shared" si="13"/>
        <v>0</v>
      </c>
      <c r="V39" s="8">
        <f t="shared" si="39"/>
        <v>61455.032043620013</v>
      </c>
      <c r="W39" s="5">
        <f t="shared" si="33"/>
        <v>57977.88669952401</v>
      </c>
      <c r="X39" s="5">
        <f t="shared" si="34"/>
        <v>4831.4905582936672</v>
      </c>
    </row>
    <row r="40" spans="1:24" s="62" customFormat="1" ht="15.75" thickBot="1" x14ac:dyDescent="0.3">
      <c r="A40" s="24" t="s">
        <v>316</v>
      </c>
      <c r="B40" s="2">
        <v>5</v>
      </c>
      <c r="C40" s="317">
        <v>56772</v>
      </c>
      <c r="D40" s="7">
        <f t="shared" si="0"/>
        <v>0</v>
      </c>
      <c r="E40" s="7">
        <f t="shared" si="1"/>
        <v>0</v>
      </c>
      <c r="F40" s="8">
        <f t="shared" si="35"/>
        <v>56772</v>
      </c>
      <c r="G40" s="34">
        <f t="shared" si="17"/>
        <v>58475.16</v>
      </c>
      <c r="H40" s="7">
        <f t="shared" si="3"/>
        <v>0</v>
      </c>
      <c r="I40" s="7">
        <f t="shared" si="4"/>
        <v>0</v>
      </c>
      <c r="J40" s="8">
        <f t="shared" si="36"/>
        <v>58475.16</v>
      </c>
      <c r="K40" s="34">
        <f t="shared" si="18"/>
        <v>60229.414800000006</v>
      </c>
      <c r="L40" s="7">
        <f t="shared" si="6"/>
        <v>0</v>
      </c>
      <c r="M40" s="7">
        <f t="shared" si="7"/>
        <v>0</v>
      </c>
      <c r="N40" s="8">
        <f t="shared" si="37"/>
        <v>60229.414800000006</v>
      </c>
      <c r="O40" s="34">
        <f t="shared" si="19"/>
        <v>62036.297244000009</v>
      </c>
      <c r="P40" s="7">
        <f t="shared" si="9"/>
        <v>0</v>
      </c>
      <c r="Q40" s="7">
        <f t="shared" si="10"/>
        <v>0</v>
      </c>
      <c r="R40" s="8">
        <f t="shared" si="38"/>
        <v>62036.297244000009</v>
      </c>
      <c r="S40" s="34">
        <f t="shared" si="20"/>
        <v>63897.386161320013</v>
      </c>
      <c r="T40" s="7">
        <f t="shared" si="12"/>
        <v>0</v>
      </c>
      <c r="U40" s="7">
        <f t="shared" si="13"/>
        <v>0</v>
      </c>
      <c r="V40" s="8">
        <f t="shared" si="39"/>
        <v>63897.386161320013</v>
      </c>
      <c r="W40" s="5">
        <f t="shared" si="33"/>
        <v>60282.051641064012</v>
      </c>
      <c r="X40" s="5">
        <f t="shared" si="34"/>
        <v>5023.5043034220007</v>
      </c>
    </row>
    <row r="41" spans="1:24" x14ac:dyDescent="0.25">
      <c r="A41" s="24" t="s">
        <v>315</v>
      </c>
      <c r="B41" s="2">
        <v>6</v>
      </c>
      <c r="C41" s="317">
        <v>58966</v>
      </c>
      <c r="D41" s="7">
        <f t="shared" si="0"/>
        <v>0</v>
      </c>
      <c r="E41" s="7">
        <f t="shared" si="1"/>
        <v>0</v>
      </c>
      <c r="F41" s="8">
        <f t="shared" si="35"/>
        <v>58966</v>
      </c>
      <c r="G41" s="34">
        <f t="shared" si="17"/>
        <v>60734.98</v>
      </c>
      <c r="H41" s="7">
        <f t="shared" si="3"/>
        <v>0</v>
      </c>
      <c r="I41" s="7">
        <f t="shared" si="4"/>
        <v>0</v>
      </c>
      <c r="J41" s="8">
        <f t="shared" si="36"/>
        <v>60734.98</v>
      </c>
      <c r="K41" s="34">
        <f t="shared" si="18"/>
        <v>62557.029400000007</v>
      </c>
      <c r="L41" s="7">
        <f t="shared" si="6"/>
        <v>0</v>
      </c>
      <c r="M41" s="7">
        <f t="shared" si="7"/>
        <v>0</v>
      </c>
      <c r="N41" s="8">
        <f t="shared" si="37"/>
        <v>62557.029400000007</v>
      </c>
      <c r="O41" s="34">
        <f t="shared" si="19"/>
        <v>64433.740282000006</v>
      </c>
      <c r="P41" s="7">
        <f t="shared" si="9"/>
        <v>0</v>
      </c>
      <c r="Q41" s="7">
        <f t="shared" si="10"/>
        <v>0</v>
      </c>
      <c r="R41" s="8">
        <f t="shared" si="38"/>
        <v>64433.740282000006</v>
      </c>
      <c r="S41" s="34">
        <f t="shared" si="20"/>
        <v>66366.752490460014</v>
      </c>
      <c r="T41" s="7">
        <f t="shared" si="12"/>
        <v>0</v>
      </c>
      <c r="U41" s="7">
        <f t="shared" si="13"/>
        <v>0</v>
      </c>
      <c r="V41" s="8">
        <f t="shared" si="39"/>
        <v>66366.752490460014</v>
      </c>
      <c r="W41" s="5"/>
      <c r="X41" s="5"/>
    </row>
    <row r="42" spans="1:24" x14ac:dyDescent="0.25">
      <c r="A42" s="24" t="s">
        <v>314</v>
      </c>
      <c r="B42" s="2">
        <v>7</v>
      </c>
      <c r="C42" s="317">
        <v>61112</v>
      </c>
      <c r="D42" s="7">
        <f t="shared" si="0"/>
        <v>0</v>
      </c>
      <c r="E42" s="7">
        <f t="shared" si="1"/>
        <v>0</v>
      </c>
      <c r="F42" s="8">
        <f t="shared" si="35"/>
        <v>61112</v>
      </c>
      <c r="G42" s="34">
        <f t="shared" si="17"/>
        <v>62945.36</v>
      </c>
      <c r="H42" s="7">
        <f t="shared" si="3"/>
        <v>0</v>
      </c>
      <c r="I42" s="7">
        <f t="shared" si="4"/>
        <v>0</v>
      </c>
      <c r="J42" s="8">
        <f t="shared" si="36"/>
        <v>62945.36</v>
      </c>
      <c r="K42" s="34">
        <f t="shared" si="18"/>
        <v>64833.720800000003</v>
      </c>
      <c r="L42" s="7">
        <f t="shared" si="6"/>
        <v>0</v>
      </c>
      <c r="M42" s="7">
        <f t="shared" si="7"/>
        <v>0</v>
      </c>
      <c r="N42" s="8">
        <f t="shared" si="37"/>
        <v>64833.720800000003</v>
      </c>
      <c r="O42" s="34">
        <f t="shared" si="19"/>
        <v>66778.732424000002</v>
      </c>
      <c r="P42" s="7">
        <f t="shared" si="9"/>
        <v>0</v>
      </c>
      <c r="Q42" s="7">
        <f t="shared" si="10"/>
        <v>0</v>
      </c>
      <c r="R42" s="8">
        <f t="shared" si="38"/>
        <v>66778.732424000002</v>
      </c>
      <c r="S42" s="34">
        <f t="shared" si="20"/>
        <v>68782.09439672</v>
      </c>
      <c r="T42" s="7">
        <f t="shared" si="12"/>
        <v>0</v>
      </c>
      <c r="U42" s="7">
        <f t="shared" si="13"/>
        <v>0</v>
      </c>
      <c r="V42" s="8">
        <f t="shared" si="39"/>
        <v>68782.09439672</v>
      </c>
      <c r="W42" s="5"/>
      <c r="X42" s="5"/>
    </row>
    <row r="43" spans="1:24" x14ac:dyDescent="0.25">
      <c r="A43" s="24" t="s">
        <v>313</v>
      </c>
      <c r="B43" s="2">
        <v>8</v>
      </c>
      <c r="C43" s="317">
        <v>63381</v>
      </c>
      <c r="D43" s="7">
        <f t="shared" si="0"/>
        <v>0</v>
      </c>
      <c r="E43" s="7">
        <f t="shared" si="1"/>
        <v>0</v>
      </c>
      <c r="F43" s="8">
        <f t="shared" si="35"/>
        <v>63381</v>
      </c>
      <c r="G43" s="34">
        <f t="shared" si="17"/>
        <v>65282.43</v>
      </c>
      <c r="H43" s="7">
        <f t="shared" si="3"/>
        <v>0</v>
      </c>
      <c r="I43" s="7">
        <f t="shared" si="4"/>
        <v>0</v>
      </c>
      <c r="J43" s="8">
        <f t="shared" si="36"/>
        <v>65282.43</v>
      </c>
      <c r="K43" s="34">
        <f t="shared" si="18"/>
        <v>67240.902900000001</v>
      </c>
      <c r="L43" s="7">
        <f t="shared" si="6"/>
        <v>0</v>
      </c>
      <c r="M43" s="7">
        <f t="shared" si="7"/>
        <v>0</v>
      </c>
      <c r="N43" s="8">
        <f t="shared" si="37"/>
        <v>67240.902900000001</v>
      </c>
      <c r="O43" s="34">
        <f t="shared" si="19"/>
        <v>69258.129987000008</v>
      </c>
      <c r="P43" s="7">
        <f t="shared" si="9"/>
        <v>0</v>
      </c>
      <c r="Q43" s="7">
        <f t="shared" si="10"/>
        <v>0</v>
      </c>
      <c r="R43" s="8">
        <f t="shared" si="38"/>
        <v>69258.129987000008</v>
      </c>
      <c r="S43" s="34">
        <f t="shared" si="20"/>
        <v>71335.873886610003</v>
      </c>
      <c r="T43" s="7">
        <f t="shared" si="12"/>
        <v>0</v>
      </c>
      <c r="U43" s="7">
        <f t="shared" si="13"/>
        <v>0</v>
      </c>
      <c r="V43" s="8">
        <f t="shared" si="39"/>
        <v>71335.873886610003</v>
      </c>
      <c r="W43" s="5"/>
      <c r="X43" s="5"/>
    </row>
    <row r="44" spans="1:24" ht="15.75" thickBot="1" x14ac:dyDescent="0.3">
      <c r="A44" s="24" t="s">
        <v>312</v>
      </c>
      <c r="B44" s="2">
        <v>9</v>
      </c>
      <c r="C44" s="317">
        <v>65549</v>
      </c>
      <c r="D44" s="7">
        <f t="shared" si="0"/>
        <v>0</v>
      </c>
      <c r="E44" s="7">
        <f t="shared" si="1"/>
        <v>0</v>
      </c>
      <c r="F44" s="8">
        <f t="shared" si="35"/>
        <v>65549</v>
      </c>
      <c r="G44" s="34">
        <f t="shared" si="17"/>
        <v>67515.47</v>
      </c>
      <c r="H44" s="7">
        <f t="shared" si="3"/>
        <v>0</v>
      </c>
      <c r="I44" s="7">
        <f t="shared" si="4"/>
        <v>0</v>
      </c>
      <c r="J44" s="8">
        <f t="shared" si="36"/>
        <v>67515.47</v>
      </c>
      <c r="K44" s="34">
        <f t="shared" si="18"/>
        <v>69540.934099999999</v>
      </c>
      <c r="L44" s="7">
        <f t="shared" si="6"/>
        <v>0</v>
      </c>
      <c r="M44" s="7">
        <f t="shared" si="7"/>
        <v>0</v>
      </c>
      <c r="N44" s="8">
        <f t="shared" si="37"/>
        <v>69540.934099999999</v>
      </c>
      <c r="O44" s="34">
        <f t="shared" si="19"/>
        <v>71627.162123000002</v>
      </c>
      <c r="P44" s="7">
        <f t="shared" si="9"/>
        <v>0</v>
      </c>
      <c r="Q44" s="7">
        <f t="shared" si="10"/>
        <v>0</v>
      </c>
      <c r="R44" s="8">
        <f t="shared" si="38"/>
        <v>71627.162123000002</v>
      </c>
      <c r="S44" s="34">
        <f t="shared" si="20"/>
        <v>73775.976986690002</v>
      </c>
      <c r="T44" s="7">
        <f t="shared" si="12"/>
        <v>0</v>
      </c>
      <c r="U44" s="7">
        <f t="shared" si="13"/>
        <v>0</v>
      </c>
      <c r="V44" s="8">
        <f t="shared" si="39"/>
        <v>73775.976986690002</v>
      </c>
      <c r="W44" s="5"/>
      <c r="X44" s="5"/>
    </row>
    <row r="45" spans="1:24" x14ac:dyDescent="0.25">
      <c r="A45" s="26" t="s">
        <v>311</v>
      </c>
      <c r="B45" s="27">
        <v>1</v>
      </c>
      <c r="C45" s="316">
        <v>46111</v>
      </c>
      <c r="D45" s="28">
        <f t="shared" si="0"/>
        <v>0</v>
      </c>
      <c r="E45" s="28">
        <f t="shared" si="1"/>
        <v>0</v>
      </c>
      <c r="F45" s="29">
        <f>SUM(C45:E45)</f>
        <v>46111</v>
      </c>
      <c r="G45" s="37">
        <f t="shared" si="17"/>
        <v>47494.33</v>
      </c>
      <c r="H45" s="28">
        <f t="shared" si="3"/>
        <v>0</v>
      </c>
      <c r="I45" s="28">
        <f t="shared" si="4"/>
        <v>0</v>
      </c>
      <c r="J45" s="29">
        <f>SUM(G45:I45)</f>
        <v>47494.33</v>
      </c>
      <c r="K45" s="37">
        <f t="shared" si="18"/>
        <v>48919.159900000006</v>
      </c>
      <c r="L45" s="28">
        <f t="shared" si="6"/>
        <v>0</v>
      </c>
      <c r="M45" s="28">
        <f t="shared" si="7"/>
        <v>0</v>
      </c>
      <c r="N45" s="29">
        <f>SUM(K45:M45)</f>
        <v>48919.159900000006</v>
      </c>
      <c r="O45" s="37">
        <f t="shared" si="19"/>
        <v>50386.734697000007</v>
      </c>
      <c r="P45" s="28">
        <f t="shared" si="9"/>
        <v>0</v>
      </c>
      <c r="Q45" s="28">
        <f t="shared" si="10"/>
        <v>0</v>
      </c>
      <c r="R45" s="29">
        <f>SUM(O45:Q45)</f>
        <v>50386.734697000007</v>
      </c>
      <c r="S45" s="37">
        <f t="shared" si="20"/>
        <v>51898.336737910009</v>
      </c>
      <c r="T45" s="28">
        <f t="shared" si="12"/>
        <v>0</v>
      </c>
      <c r="U45" s="28">
        <f t="shared" si="13"/>
        <v>0</v>
      </c>
      <c r="V45" s="29">
        <f>SUM(S45:U45)</f>
        <v>51898.336737910009</v>
      </c>
      <c r="W45" s="5"/>
      <c r="X45" s="5"/>
    </row>
    <row r="46" spans="1:24" x14ac:dyDescent="0.25">
      <c r="A46" s="24" t="s">
        <v>310</v>
      </c>
      <c r="B46" s="2">
        <v>2</v>
      </c>
      <c r="C46" s="317">
        <v>48087</v>
      </c>
      <c r="D46" s="7">
        <f t="shared" si="0"/>
        <v>0</v>
      </c>
      <c r="E46" s="7">
        <f t="shared" si="1"/>
        <v>0</v>
      </c>
      <c r="F46" s="8">
        <f t="shared" ref="F46:F53" si="40">SUM(C46:E46)</f>
        <v>48087</v>
      </c>
      <c r="G46" s="34">
        <f t="shared" si="17"/>
        <v>49529.61</v>
      </c>
      <c r="H46" s="7">
        <f t="shared" si="3"/>
        <v>0</v>
      </c>
      <c r="I46" s="7">
        <f t="shared" si="4"/>
        <v>0</v>
      </c>
      <c r="J46" s="8">
        <f t="shared" ref="J46:J53" si="41">SUM(G46:I46)</f>
        <v>49529.61</v>
      </c>
      <c r="K46" s="34">
        <f t="shared" si="18"/>
        <v>51015.498299999999</v>
      </c>
      <c r="L46" s="7">
        <f t="shared" si="6"/>
        <v>0</v>
      </c>
      <c r="M46" s="7">
        <f t="shared" si="7"/>
        <v>0</v>
      </c>
      <c r="N46" s="8">
        <f t="shared" ref="N46:N53" si="42">SUM(K46:M46)</f>
        <v>51015.498299999999</v>
      </c>
      <c r="O46" s="34">
        <f t="shared" si="19"/>
        <v>52545.963249</v>
      </c>
      <c r="P46" s="7">
        <f t="shared" si="9"/>
        <v>0</v>
      </c>
      <c r="Q46" s="7">
        <f t="shared" si="10"/>
        <v>0</v>
      </c>
      <c r="R46" s="8">
        <f t="shared" ref="R46:R53" si="43">SUM(O46:Q46)</f>
        <v>52545.963249</v>
      </c>
      <c r="S46" s="34">
        <f t="shared" si="20"/>
        <v>54122.34214647</v>
      </c>
      <c r="T46" s="7">
        <f t="shared" si="12"/>
        <v>0</v>
      </c>
      <c r="U46" s="7">
        <f t="shared" si="13"/>
        <v>0</v>
      </c>
      <c r="V46" s="8">
        <f t="shared" ref="V46:V53" si="44">SUM(S46:U46)</f>
        <v>54122.34214647</v>
      </c>
      <c r="W46" s="5"/>
      <c r="X46" s="5"/>
    </row>
    <row r="47" spans="1:24" x14ac:dyDescent="0.25">
      <c r="A47" s="24" t="s">
        <v>309</v>
      </c>
      <c r="B47" s="2">
        <v>3</v>
      </c>
      <c r="C47" s="317">
        <v>50059</v>
      </c>
      <c r="D47" s="7">
        <f t="shared" si="0"/>
        <v>0</v>
      </c>
      <c r="E47" s="7">
        <f t="shared" si="1"/>
        <v>0</v>
      </c>
      <c r="F47" s="8">
        <f t="shared" si="40"/>
        <v>50059</v>
      </c>
      <c r="G47" s="34">
        <f t="shared" si="17"/>
        <v>51560.770000000004</v>
      </c>
      <c r="H47" s="7">
        <f t="shared" si="3"/>
        <v>0</v>
      </c>
      <c r="I47" s="7">
        <f t="shared" si="4"/>
        <v>0</v>
      </c>
      <c r="J47" s="8">
        <f t="shared" si="41"/>
        <v>51560.770000000004</v>
      </c>
      <c r="K47" s="34">
        <f t="shared" si="18"/>
        <v>53107.593100000006</v>
      </c>
      <c r="L47" s="7">
        <f t="shared" si="6"/>
        <v>0</v>
      </c>
      <c r="M47" s="7">
        <f t="shared" si="7"/>
        <v>0</v>
      </c>
      <c r="N47" s="8">
        <f t="shared" si="42"/>
        <v>53107.593100000006</v>
      </c>
      <c r="O47" s="34">
        <f t="shared" si="19"/>
        <v>54700.820893000004</v>
      </c>
      <c r="P47" s="7">
        <f t="shared" si="9"/>
        <v>0</v>
      </c>
      <c r="Q47" s="7">
        <f t="shared" si="10"/>
        <v>0</v>
      </c>
      <c r="R47" s="8">
        <f t="shared" si="43"/>
        <v>54700.820893000004</v>
      </c>
      <c r="S47" s="34">
        <f t="shared" si="20"/>
        <v>56341.845519790004</v>
      </c>
      <c r="T47" s="7">
        <f t="shared" si="12"/>
        <v>0</v>
      </c>
      <c r="U47" s="7">
        <f t="shared" si="13"/>
        <v>0</v>
      </c>
      <c r="V47" s="8">
        <f t="shared" si="44"/>
        <v>56341.845519790004</v>
      </c>
      <c r="W47" s="5"/>
      <c r="X47" s="5"/>
    </row>
    <row r="48" spans="1:24" x14ac:dyDescent="0.25">
      <c r="A48" s="24" t="s">
        <v>308</v>
      </c>
      <c r="B48" s="2">
        <v>4</v>
      </c>
      <c r="C48" s="317">
        <v>51997</v>
      </c>
      <c r="D48" s="7">
        <f t="shared" si="0"/>
        <v>0</v>
      </c>
      <c r="E48" s="7">
        <f t="shared" si="1"/>
        <v>0</v>
      </c>
      <c r="F48" s="8">
        <f t="shared" si="40"/>
        <v>51997</v>
      </c>
      <c r="G48" s="34">
        <f t="shared" si="17"/>
        <v>53556.91</v>
      </c>
      <c r="H48" s="7">
        <f t="shared" si="3"/>
        <v>0</v>
      </c>
      <c r="I48" s="7">
        <f t="shared" si="4"/>
        <v>0</v>
      </c>
      <c r="J48" s="8">
        <f t="shared" si="41"/>
        <v>53556.91</v>
      </c>
      <c r="K48" s="34">
        <f t="shared" si="18"/>
        <v>55163.617300000005</v>
      </c>
      <c r="L48" s="7">
        <f t="shared" si="6"/>
        <v>0</v>
      </c>
      <c r="M48" s="7">
        <f t="shared" si="7"/>
        <v>0</v>
      </c>
      <c r="N48" s="8">
        <f t="shared" si="42"/>
        <v>55163.617300000005</v>
      </c>
      <c r="O48" s="34">
        <f t="shared" si="19"/>
        <v>56818.52581900001</v>
      </c>
      <c r="P48" s="7">
        <f t="shared" si="9"/>
        <v>0</v>
      </c>
      <c r="Q48" s="7">
        <f t="shared" si="10"/>
        <v>0</v>
      </c>
      <c r="R48" s="8">
        <f t="shared" si="43"/>
        <v>56818.52581900001</v>
      </c>
      <c r="S48" s="34">
        <f t="shared" si="20"/>
        <v>58523.081593570008</v>
      </c>
      <c r="T48" s="7">
        <f t="shared" si="12"/>
        <v>0</v>
      </c>
      <c r="U48" s="7">
        <f t="shared" si="13"/>
        <v>0</v>
      </c>
      <c r="V48" s="8">
        <f t="shared" si="44"/>
        <v>58523.081593570008</v>
      </c>
      <c r="W48" s="5">
        <f t="shared" ref="W48:W54" si="45">AVERAGE(F48,J48,N48,R48,V48)</f>
        <v>55211.826942514002</v>
      </c>
      <c r="X48" s="5">
        <f t="shared" ref="X48:X54" si="46">SUM(F48,J48,N48,R48,V48)/$X$1</f>
        <v>4600.9855785428335</v>
      </c>
    </row>
    <row r="49" spans="1:24" x14ac:dyDescent="0.25">
      <c r="A49" s="24" t="s">
        <v>307</v>
      </c>
      <c r="B49" s="2">
        <v>5</v>
      </c>
      <c r="C49" s="317">
        <v>54046</v>
      </c>
      <c r="D49" s="7">
        <f t="shared" si="0"/>
        <v>0</v>
      </c>
      <c r="E49" s="7">
        <f t="shared" si="1"/>
        <v>0</v>
      </c>
      <c r="F49" s="8">
        <f t="shared" si="40"/>
        <v>54046</v>
      </c>
      <c r="G49" s="34">
        <f t="shared" si="17"/>
        <v>55667.380000000005</v>
      </c>
      <c r="H49" s="7">
        <f t="shared" si="3"/>
        <v>0</v>
      </c>
      <c r="I49" s="7">
        <f t="shared" si="4"/>
        <v>0</v>
      </c>
      <c r="J49" s="8">
        <f t="shared" si="41"/>
        <v>55667.380000000005</v>
      </c>
      <c r="K49" s="34">
        <f t="shared" si="18"/>
        <v>57337.40140000001</v>
      </c>
      <c r="L49" s="7">
        <f t="shared" si="6"/>
        <v>0</v>
      </c>
      <c r="M49" s="7">
        <f t="shared" si="7"/>
        <v>0</v>
      </c>
      <c r="N49" s="8">
        <f t="shared" si="42"/>
        <v>57337.40140000001</v>
      </c>
      <c r="O49" s="34">
        <f t="shared" si="19"/>
        <v>59057.523442000012</v>
      </c>
      <c r="P49" s="7">
        <f t="shared" si="9"/>
        <v>0</v>
      </c>
      <c r="Q49" s="7">
        <f t="shared" si="10"/>
        <v>0</v>
      </c>
      <c r="R49" s="8">
        <f t="shared" si="43"/>
        <v>59057.523442000012</v>
      </c>
      <c r="S49" s="34">
        <f t="shared" si="20"/>
        <v>60829.249145260015</v>
      </c>
      <c r="T49" s="7">
        <f t="shared" si="12"/>
        <v>0</v>
      </c>
      <c r="U49" s="7">
        <f t="shared" si="13"/>
        <v>0</v>
      </c>
      <c r="V49" s="8">
        <f t="shared" si="44"/>
        <v>60829.249145260015</v>
      </c>
      <c r="W49" s="5">
        <f t="shared" si="45"/>
        <v>57387.510797452007</v>
      </c>
      <c r="X49" s="5">
        <f t="shared" si="46"/>
        <v>4782.2925664543336</v>
      </c>
    </row>
    <row r="50" spans="1:24" x14ac:dyDescent="0.25">
      <c r="A50" s="24" t="s">
        <v>306</v>
      </c>
      <c r="B50" s="2">
        <v>6</v>
      </c>
      <c r="C50" s="317">
        <v>56120</v>
      </c>
      <c r="D50" s="7">
        <f t="shared" si="0"/>
        <v>0</v>
      </c>
      <c r="E50" s="7">
        <f t="shared" si="1"/>
        <v>0</v>
      </c>
      <c r="F50" s="8">
        <f t="shared" si="40"/>
        <v>56120</v>
      </c>
      <c r="G50" s="34">
        <f t="shared" si="17"/>
        <v>57803.6</v>
      </c>
      <c r="H50" s="7">
        <f t="shared" si="3"/>
        <v>0</v>
      </c>
      <c r="I50" s="7">
        <f t="shared" si="4"/>
        <v>0</v>
      </c>
      <c r="J50" s="8">
        <f t="shared" si="41"/>
        <v>57803.6</v>
      </c>
      <c r="K50" s="34">
        <f t="shared" si="18"/>
        <v>59537.707999999999</v>
      </c>
      <c r="L50" s="7">
        <f t="shared" si="6"/>
        <v>0</v>
      </c>
      <c r="M50" s="7">
        <f t="shared" si="7"/>
        <v>0</v>
      </c>
      <c r="N50" s="8">
        <f t="shared" si="42"/>
        <v>59537.707999999999</v>
      </c>
      <c r="O50" s="34">
        <f t="shared" si="19"/>
        <v>61323.839240000001</v>
      </c>
      <c r="P50" s="7">
        <f t="shared" si="9"/>
        <v>0</v>
      </c>
      <c r="Q50" s="7">
        <f t="shared" si="10"/>
        <v>0</v>
      </c>
      <c r="R50" s="8">
        <f t="shared" si="43"/>
        <v>61323.839240000001</v>
      </c>
      <c r="S50" s="34">
        <f t="shared" si="20"/>
        <v>63163.554417200001</v>
      </c>
      <c r="T50" s="7">
        <f t="shared" si="12"/>
        <v>0</v>
      </c>
      <c r="U50" s="7">
        <f t="shared" si="13"/>
        <v>0</v>
      </c>
      <c r="V50" s="8">
        <f t="shared" si="44"/>
        <v>63163.554417200001</v>
      </c>
      <c r="W50" s="5">
        <f t="shared" si="45"/>
        <v>59589.74033144</v>
      </c>
      <c r="X50" s="5">
        <f t="shared" si="46"/>
        <v>4965.8116942866664</v>
      </c>
    </row>
    <row r="51" spans="1:24" x14ac:dyDescent="0.25">
      <c r="A51" s="24" t="s">
        <v>305</v>
      </c>
      <c r="B51" s="2">
        <v>7</v>
      </c>
      <c r="C51" s="317">
        <v>58169</v>
      </c>
      <c r="D51" s="7">
        <f t="shared" si="0"/>
        <v>0</v>
      </c>
      <c r="E51" s="7">
        <f t="shared" si="1"/>
        <v>0</v>
      </c>
      <c r="F51" s="8">
        <f t="shared" si="40"/>
        <v>58169</v>
      </c>
      <c r="G51" s="34">
        <f t="shared" si="17"/>
        <v>59914.07</v>
      </c>
      <c r="H51" s="7">
        <f t="shared" si="3"/>
        <v>0</v>
      </c>
      <c r="I51" s="7">
        <f t="shared" si="4"/>
        <v>0</v>
      </c>
      <c r="J51" s="8">
        <f t="shared" si="41"/>
        <v>59914.07</v>
      </c>
      <c r="K51" s="34">
        <f t="shared" si="18"/>
        <v>61711.492100000003</v>
      </c>
      <c r="L51" s="7">
        <f t="shared" si="6"/>
        <v>0</v>
      </c>
      <c r="M51" s="7">
        <f t="shared" si="7"/>
        <v>0</v>
      </c>
      <c r="N51" s="8">
        <f t="shared" si="42"/>
        <v>61711.492100000003</v>
      </c>
      <c r="O51" s="34">
        <f t="shared" si="19"/>
        <v>63562.836863000004</v>
      </c>
      <c r="P51" s="7">
        <f t="shared" si="9"/>
        <v>0</v>
      </c>
      <c r="Q51" s="7">
        <f t="shared" si="10"/>
        <v>0</v>
      </c>
      <c r="R51" s="8">
        <f t="shared" si="43"/>
        <v>63562.836863000004</v>
      </c>
      <c r="S51" s="34">
        <f t="shared" si="20"/>
        <v>65469.721968890008</v>
      </c>
      <c r="T51" s="7">
        <f t="shared" si="12"/>
        <v>0</v>
      </c>
      <c r="U51" s="7">
        <f t="shared" si="13"/>
        <v>0</v>
      </c>
      <c r="V51" s="8">
        <f t="shared" si="44"/>
        <v>65469.721968890008</v>
      </c>
      <c r="W51" s="5">
        <f t="shared" si="45"/>
        <v>61765.424186378004</v>
      </c>
      <c r="X51" s="5">
        <f t="shared" si="46"/>
        <v>5147.1186821981673</v>
      </c>
    </row>
    <row r="52" spans="1:24" x14ac:dyDescent="0.25">
      <c r="A52" s="24" t="s">
        <v>304</v>
      </c>
      <c r="B52" s="2">
        <v>8</v>
      </c>
      <c r="C52" s="317">
        <v>60313</v>
      </c>
      <c r="D52" s="7">
        <f t="shared" si="0"/>
        <v>0</v>
      </c>
      <c r="E52" s="7">
        <f t="shared" si="1"/>
        <v>0</v>
      </c>
      <c r="F52" s="8">
        <f t="shared" si="40"/>
        <v>60313</v>
      </c>
      <c r="G52" s="34">
        <f t="shared" si="17"/>
        <v>62122.39</v>
      </c>
      <c r="H52" s="7">
        <f t="shared" si="3"/>
        <v>0</v>
      </c>
      <c r="I52" s="7">
        <f t="shared" si="4"/>
        <v>0</v>
      </c>
      <c r="J52" s="8">
        <f t="shared" si="41"/>
        <v>62122.39</v>
      </c>
      <c r="K52" s="34">
        <f t="shared" si="18"/>
        <v>63986.061699999998</v>
      </c>
      <c r="L52" s="7">
        <f t="shared" si="6"/>
        <v>0</v>
      </c>
      <c r="M52" s="7">
        <f t="shared" si="7"/>
        <v>0</v>
      </c>
      <c r="N52" s="8">
        <f t="shared" si="42"/>
        <v>63986.061699999998</v>
      </c>
      <c r="O52" s="34">
        <f t="shared" si="19"/>
        <v>65905.643551000001</v>
      </c>
      <c r="P52" s="7">
        <f t="shared" si="9"/>
        <v>0</v>
      </c>
      <c r="Q52" s="7">
        <f t="shared" si="10"/>
        <v>0</v>
      </c>
      <c r="R52" s="8">
        <f t="shared" si="43"/>
        <v>65905.643551000001</v>
      </c>
      <c r="S52" s="34">
        <f t="shared" si="20"/>
        <v>67882.812857530007</v>
      </c>
      <c r="T52" s="7">
        <f t="shared" si="12"/>
        <v>0</v>
      </c>
      <c r="U52" s="7">
        <f t="shared" si="13"/>
        <v>0</v>
      </c>
      <c r="V52" s="8">
        <f t="shared" si="44"/>
        <v>67882.812857530007</v>
      </c>
      <c r="W52" s="5">
        <f t="shared" si="45"/>
        <v>64041.981621706007</v>
      </c>
      <c r="X52" s="5">
        <f t="shared" si="46"/>
        <v>5336.8318018088339</v>
      </c>
    </row>
    <row r="53" spans="1:24" ht="15.75" thickBot="1" x14ac:dyDescent="0.3">
      <c r="A53" s="25" t="s">
        <v>303</v>
      </c>
      <c r="B53" s="9">
        <v>9</v>
      </c>
      <c r="C53" s="318">
        <v>62368</v>
      </c>
      <c r="D53" s="10">
        <f t="shared" si="0"/>
        <v>0</v>
      </c>
      <c r="E53" s="10">
        <f t="shared" si="1"/>
        <v>0</v>
      </c>
      <c r="F53" s="11">
        <f t="shared" si="40"/>
        <v>62368</v>
      </c>
      <c r="G53" s="35">
        <f t="shared" si="17"/>
        <v>64239.040000000001</v>
      </c>
      <c r="H53" s="10">
        <f t="shared" si="3"/>
        <v>0</v>
      </c>
      <c r="I53" s="10">
        <f t="shared" si="4"/>
        <v>0</v>
      </c>
      <c r="J53" s="11">
        <f t="shared" si="41"/>
        <v>64239.040000000001</v>
      </c>
      <c r="K53" s="35">
        <f t="shared" si="18"/>
        <v>66166.211200000005</v>
      </c>
      <c r="L53" s="10">
        <f t="shared" si="6"/>
        <v>0</v>
      </c>
      <c r="M53" s="10">
        <f t="shared" si="7"/>
        <v>0</v>
      </c>
      <c r="N53" s="11">
        <f t="shared" si="42"/>
        <v>66166.211200000005</v>
      </c>
      <c r="O53" s="35">
        <f t="shared" si="19"/>
        <v>68151.197536000007</v>
      </c>
      <c r="P53" s="10">
        <f t="shared" si="9"/>
        <v>0</v>
      </c>
      <c r="Q53" s="10">
        <f t="shared" si="10"/>
        <v>0</v>
      </c>
      <c r="R53" s="11">
        <f t="shared" si="43"/>
        <v>68151.197536000007</v>
      </c>
      <c r="S53" s="35">
        <f t="shared" si="20"/>
        <v>70195.73346208001</v>
      </c>
      <c r="T53" s="10">
        <f t="shared" si="12"/>
        <v>0</v>
      </c>
      <c r="U53" s="10">
        <f t="shared" si="13"/>
        <v>0</v>
      </c>
      <c r="V53" s="11">
        <f t="shared" si="44"/>
        <v>70195.73346208001</v>
      </c>
      <c r="W53" s="5">
        <f t="shared" si="45"/>
        <v>66224.036439616</v>
      </c>
      <c r="X53" s="5">
        <f t="shared" si="46"/>
        <v>5518.6697033013334</v>
      </c>
    </row>
    <row r="54" spans="1:24" x14ac:dyDescent="0.25">
      <c r="A54" s="26" t="s">
        <v>302</v>
      </c>
      <c r="B54" s="27">
        <v>1</v>
      </c>
      <c r="C54" s="37">
        <v>27566</v>
      </c>
      <c r="D54" s="28">
        <f t="shared" si="0"/>
        <v>0</v>
      </c>
      <c r="E54" s="28">
        <f t="shared" si="1"/>
        <v>0</v>
      </c>
      <c r="F54" s="29">
        <f>SUM(C54:E54)</f>
        <v>27566</v>
      </c>
      <c r="G54" s="37">
        <f t="shared" si="17"/>
        <v>28392.98</v>
      </c>
      <c r="H54" s="28">
        <f t="shared" si="3"/>
        <v>0</v>
      </c>
      <c r="I54" s="28">
        <f t="shared" si="4"/>
        <v>0</v>
      </c>
      <c r="J54" s="29">
        <f>SUM(G54:I54)</f>
        <v>28392.98</v>
      </c>
      <c r="K54" s="37">
        <f t="shared" si="18"/>
        <v>29244.769400000001</v>
      </c>
      <c r="L54" s="28">
        <f t="shared" si="6"/>
        <v>0</v>
      </c>
      <c r="M54" s="28">
        <f t="shared" si="7"/>
        <v>0</v>
      </c>
      <c r="N54" s="29">
        <f>SUM(K54:M54)</f>
        <v>29244.769400000001</v>
      </c>
      <c r="O54" s="37">
        <f t="shared" si="19"/>
        <v>30122.112482</v>
      </c>
      <c r="P54" s="28">
        <f t="shared" si="9"/>
        <v>0</v>
      </c>
      <c r="Q54" s="28">
        <f t="shared" si="10"/>
        <v>0</v>
      </c>
      <c r="R54" s="29">
        <f>SUM(O54:Q54)</f>
        <v>30122.112482</v>
      </c>
      <c r="S54" s="37">
        <f t="shared" si="20"/>
        <v>31025.775856460001</v>
      </c>
      <c r="T54" s="28">
        <f t="shared" si="12"/>
        <v>0</v>
      </c>
      <c r="U54" s="28">
        <f t="shared" si="13"/>
        <v>0</v>
      </c>
      <c r="V54" s="29">
        <f>SUM(S54:U54)</f>
        <v>31025.775856460001</v>
      </c>
      <c r="W54" s="5">
        <f t="shared" si="45"/>
        <v>29270.327547692003</v>
      </c>
      <c r="X54" s="5">
        <f t="shared" si="46"/>
        <v>2439.1939623076669</v>
      </c>
    </row>
    <row r="55" spans="1:24" x14ac:dyDescent="0.25">
      <c r="A55" s="24" t="s">
        <v>301</v>
      </c>
      <c r="B55" s="2">
        <v>2</v>
      </c>
      <c r="C55" s="34">
        <v>28609</v>
      </c>
      <c r="D55" s="7">
        <f t="shared" si="0"/>
        <v>0</v>
      </c>
      <c r="E55" s="7">
        <f t="shared" si="1"/>
        <v>0</v>
      </c>
      <c r="F55" s="8">
        <f t="shared" ref="F55:F64" si="47">SUM(C55:E55)</f>
        <v>28609</v>
      </c>
      <c r="G55" s="34">
        <f t="shared" si="17"/>
        <v>29467.27</v>
      </c>
      <c r="H55" s="7">
        <f t="shared" si="3"/>
        <v>0</v>
      </c>
      <c r="I55" s="7">
        <f t="shared" si="4"/>
        <v>0</v>
      </c>
      <c r="J55" s="8">
        <f t="shared" ref="J55:J64" si="48">SUM(G55:I55)</f>
        <v>29467.27</v>
      </c>
      <c r="K55" s="34">
        <f t="shared" si="18"/>
        <v>30351.288100000002</v>
      </c>
      <c r="L55" s="7">
        <f t="shared" si="6"/>
        <v>0</v>
      </c>
      <c r="M55" s="7">
        <f t="shared" si="7"/>
        <v>0</v>
      </c>
      <c r="N55" s="8">
        <f t="shared" ref="N55:N64" si="49">SUM(K55:M55)</f>
        <v>30351.288100000002</v>
      </c>
      <c r="O55" s="34">
        <f t="shared" si="19"/>
        <v>31261.826743000001</v>
      </c>
      <c r="P55" s="7">
        <f t="shared" si="9"/>
        <v>0</v>
      </c>
      <c r="Q55" s="7">
        <f t="shared" si="10"/>
        <v>0</v>
      </c>
      <c r="R55" s="8">
        <f t="shared" ref="R55:R64" si="50">SUM(O55:Q55)</f>
        <v>31261.826743000001</v>
      </c>
      <c r="S55" s="34">
        <f t="shared" si="20"/>
        <v>32199.681545290001</v>
      </c>
      <c r="T55" s="7">
        <f t="shared" si="12"/>
        <v>0</v>
      </c>
      <c r="U55" s="7">
        <f t="shared" si="13"/>
        <v>0</v>
      </c>
      <c r="V55" s="8">
        <f t="shared" ref="V55:V64" si="51">SUM(S55:U55)</f>
        <v>32199.681545290001</v>
      </c>
      <c r="W55" s="5"/>
      <c r="X55" s="5"/>
    </row>
    <row r="56" spans="1:24" x14ac:dyDescent="0.25">
      <c r="A56" s="24" t="s">
        <v>300</v>
      </c>
      <c r="B56" s="2">
        <v>3</v>
      </c>
      <c r="C56" s="34">
        <v>30065</v>
      </c>
      <c r="D56" s="7">
        <f t="shared" si="0"/>
        <v>0</v>
      </c>
      <c r="E56" s="7">
        <f t="shared" si="1"/>
        <v>0</v>
      </c>
      <c r="F56" s="8">
        <f t="shared" si="47"/>
        <v>30065</v>
      </c>
      <c r="G56" s="34">
        <f t="shared" si="17"/>
        <v>30966.95</v>
      </c>
      <c r="H56" s="7">
        <f t="shared" si="3"/>
        <v>0</v>
      </c>
      <c r="I56" s="7">
        <f t="shared" si="4"/>
        <v>0</v>
      </c>
      <c r="J56" s="8">
        <f t="shared" si="48"/>
        <v>30966.95</v>
      </c>
      <c r="K56" s="34">
        <f t="shared" si="18"/>
        <v>31895.958500000001</v>
      </c>
      <c r="L56" s="7">
        <f t="shared" si="6"/>
        <v>0</v>
      </c>
      <c r="M56" s="7">
        <f t="shared" si="7"/>
        <v>0</v>
      </c>
      <c r="N56" s="8">
        <f t="shared" si="49"/>
        <v>31895.958500000001</v>
      </c>
      <c r="O56" s="34">
        <f t="shared" si="19"/>
        <v>32852.837254999999</v>
      </c>
      <c r="P56" s="7">
        <f t="shared" si="9"/>
        <v>0</v>
      </c>
      <c r="Q56" s="7">
        <f t="shared" si="10"/>
        <v>0</v>
      </c>
      <c r="R56" s="8">
        <f t="shared" si="50"/>
        <v>32852.837254999999</v>
      </c>
      <c r="S56" s="34">
        <f t="shared" si="20"/>
        <v>33838.422372649999</v>
      </c>
      <c r="T56" s="7">
        <f t="shared" si="12"/>
        <v>0</v>
      </c>
      <c r="U56" s="7">
        <f t="shared" si="13"/>
        <v>0</v>
      </c>
      <c r="V56" s="8">
        <f t="shared" si="51"/>
        <v>33838.422372649999</v>
      </c>
      <c r="W56" s="5"/>
      <c r="X56" s="5"/>
    </row>
    <row r="57" spans="1:24" x14ac:dyDescent="0.25">
      <c r="A57" s="24" t="s">
        <v>299</v>
      </c>
      <c r="B57" s="2">
        <v>4</v>
      </c>
      <c r="C57" s="34">
        <v>31558</v>
      </c>
      <c r="D57" s="7">
        <f t="shared" si="0"/>
        <v>0</v>
      </c>
      <c r="E57" s="7">
        <f t="shared" si="1"/>
        <v>0</v>
      </c>
      <c r="F57" s="8">
        <f t="shared" si="47"/>
        <v>31558</v>
      </c>
      <c r="G57" s="34">
        <f t="shared" si="17"/>
        <v>32504.74</v>
      </c>
      <c r="H57" s="7">
        <f t="shared" si="3"/>
        <v>0</v>
      </c>
      <c r="I57" s="7">
        <f t="shared" si="4"/>
        <v>0</v>
      </c>
      <c r="J57" s="8">
        <f t="shared" si="48"/>
        <v>32504.74</v>
      </c>
      <c r="K57" s="34">
        <f t="shared" si="18"/>
        <v>33479.8822</v>
      </c>
      <c r="L57" s="7">
        <f t="shared" si="6"/>
        <v>0</v>
      </c>
      <c r="M57" s="7">
        <f t="shared" si="7"/>
        <v>0</v>
      </c>
      <c r="N57" s="8">
        <f t="shared" si="49"/>
        <v>33479.8822</v>
      </c>
      <c r="O57" s="34">
        <f t="shared" si="19"/>
        <v>34484.278665999998</v>
      </c>
      <c r="P57" s="7">
        <f t="shared" si="9"/>
        <v>0</v>
      </c>
      <c r="Q57" s="7">
        <f t="shared" si="10"/>
        <v>0</v>
      </c>
      <c r="R57" s="8">
        <f t="shared" si="50"/>
        <v>34484.278665999998</v>
      </c>
      <c r="S57" s="34">
        <f t="shared" si="20"/>
        <v>35518.807025980001</v>
      </c>
      <c r="T57" s="7">
        <f t="shared" si="12"/>
        <v>0</v>
      </c>
      <c r="U57" s="7">
        <f t="shared" si="13"/>
        <v>0</v>
      </c>
      <c r="V57" s="8">
        <f t="shared" si="51"/>
        <v>35518.807025980001</v>
      </c>
      <c r="W57" s="5"/>
      <c r="X57" s="5"/>
    </row>
    <row r="58" spans="1:24" x14ac:dyDescent="0.25">
      <c r="A58" s="24" t="s">
        <v>298</v>
      </c>
      <c r="B58" s="2">
        <v>5</v>
      </c>
      <c r="C58" s="34">
        <v>32712</v>
      </c>
      <c r="D58" s="7">
        <f t="shared" si="0"/>
        <v>0</v>
      </c>
      <c r="E58" s="7">
        <f t="shared" si="1"/>
        <v>0</v>
      </c>
      <c r="F58" s="8">
        <f t="shared" si="47"/>
        <v>32712</v>
      </c>
      <c r="G58" s="34">
        <f t="shared" si="17"/>
        <v>33693.360000000001</v>
      </c>
      <c r="H58" s="7">
        <f t="shared" si="3"/>
        <v>0</v>
      </c>
      <c r="I58" s="7">
        <f t="shared" si="4"/>
        <v>0</v>
      </c>
      <c r="J58" s="8">
        <f t="shared" si="48"/>
        <v>33693.360000000001</v>
      </c>
      <c r="K58" s="34">
        <f t="shared" si="18"/>
        <v>34704.160800000005</v>
      </c>
      <c r="L58" s="7">
        <f t="shared" si="6"/>
        <v>0</v>
      </c>
      <c r="M58" s="7">
        <f t="shared" si="7"/>
        <v>0</v>
      </c>
      <c r="N58" s="8">
        <f t="shared" si="49"/>
        <v>34704.160800000005</v>
      </c>
      <c r="O58" s="34">
        <f t="shared" si="19"/>
        <v>35745.285624000004</v>
      </c>
      <c r="P58" s="7">
        <f t="shared" si="9"/>
        <v>0</v>
      </c>
      <c r="Q58" s="7">
        <f t="shared" si="10"/>
        <v>0</v>
      </c>
      <c r="R58" s="8">
        <f t="shared" si="50"/>
        <v>35745.285624000004</v>
      </c>
      <c r="S58" s="34">
        <f t="shared" si="20"/>
        <v>36817.644192720007</v>
      </c>
      <c r="T58" s="7">
        <f t="shared" si="12"/>
        <v>0</v>
      </c>
      <c r="U58" s="7">
        <f t="shared" si="13"/>
        <v>0</v>
      </c>
      <c r="V58" s="8">
        <f t="shared" si="51"/>
        <v>36817.644192720007</v>
      </c>
      <c r="W58" s="5"/>
      <c r="X58" s="5"/>
    </row>
    <row r="59" spans="1:24" x14ac:dyDescent="0.25">
      <c r="A59" s="24" t="s">
        <v>297</v>
      </c>
      <c r="B59" s="2">
        <v>6</v>
      </c>
      <c r="C59" s="34">
        <v>33852</v>
      </c>
      <c r="D59" s="7">
        <f t="shared" si="0"/>
        <v>0</v>
      </c>
      <c r="E59" s="7">
        <f t="shared" si="1"/>
        <v>0</v>
      </c>
      <c r="F59" s="8">
        <f t="shared" si="47"/>
        <v>33852</v>
      </c>
      <c r="G59" s="34">
        <f t="shared" si="17"/>
        <v>34867.56</v>
      </c>
      <c r="H59" s="7">
        <f t="shared" si="3"/>
        <v>0</v>
      </c>
      <c r="I59" s="7">
        <f t="shared" si="4"/>
        <v>0</v>
      </c>
      <c r="J59" s="8">
        <f t="shared" si="48"/>
        <v>34867.56</v>
      </c>
      <c r="K59" s="34">
        <f t="shared" si="18"/>
        <v>35913.586799999997</v>
      </c>
      <c r="L59" s="7">
        <f t="shared" si="6"/>
        <v>0</v>
      </c>
      <c r="M59" s="7">
        <f t="shared" si="7"/>
        <v>0</v>
      </c>
      <c r="N59" s="8">
        <f t="shared" si="49"/>
        <v>35913.586799999997</v>
      </c>
      <c r="O59" s="34">
        <f t="shared" si="19"/>
        <v>36990.994403999997</v>
      </c>
      <c r="P59" s="7">
        <f t="shared" si="9"/>
        <v>0</v>
      </c>
      <c r="Q59" s="7">
        <f t="shared" si="10"/>
        <v>0</v>
      </c>
      <c r="R59" s="8">
        <f t="shared" si="50"/>
        <v>36990.994403999997</v>
      </c>
      <c r="S59" s="34">
        <f t="shared" si="20"/>
        <v>38100.724236119997</v>
      </c>
      <c r="T59" s="7">
        <f t="shared" si="12"/>
        <v>0</v>
      </c>
      <c r="U59" s="7">
        <f t="shared" si="13"/>
        <v>0</v>
      </c>
      <c r="V59" s="8">
        <f t="shared" si="51"/>
        <v>38100.724236119997</v>
      </c>
      <c r="W59" s="5"/>
      <c r="X59" s="5"/>
    </row>
    <row r="60" spans="1:24" x14ac:dyDescent="0.25">
      <c r="A60" s="24" t="s">
        <v>296</v>
      </c>
      <c r="B60" s="2">
        <v>7</v>
      </c>
      <c r="C60" s="34">
        <v>34829</v>
      </c>
      <c r="D60" s="7">
        <f t="shared" si="0"/>
        <v>0</v>
      </c>
      <c r="E60" s="7">
        <f t="shared" si="1"/>
        <v>0</v>
      </c>
      <c r="F60" s="8">
        <f t="shared" si="47"/>
        <v>34829</v>
      </c>
      <c r="G60" s="34">
        <f t="shared" si="17"/>
        <v>35873.870000000003</v>
      </c>
      <c r="H60" s="7">
        <f t="shared" si="3"/>
        <v>0</v>
      </c>
      <c r="I60" s="7">
        <f t="shared" si="4"/>
        <v>0</v>
      </c>
      <c r="J60" s="8">
        <f t="shared" si="48"/>
        <v>35873.870000000003</v>
      </c>
      <c r="K60" s="34">
        <f t="shared" si="18"/>
        <v>36950.0861</v>
      </c>
      <c r="L60" s="7">
        <f t="shared" si="6"/>
        <v>0</v>
      </c>
      <c r="M60" s="7">
        <f t="shared" si="7"/>
        <v>0</v>
      </c>
      <c r="N60" s="8">
        <f t="shared" si="49"/>
        <v>36950.0861</v>
      </c>
      <c r="O60" s="34">
        <f t="shared" si="19"/>
        <v>38058.588683000002</v>
      </c>
      <c r="P60" s="7">
        <f t="shared" si="9"/>
        <v>0</v>
      </c>
      <c r="Q60" s="7">
        <f t="shared" si="10"/>
        <v>0</v>
      </c>
      <c r="R60" s="8">
        <f t="shared" si="50"/>
        <v>38058.588683000002</v>
      </c>
      <c r="S60" s="34">
        <f t="shared" si="20"/>
        <v>39200.346343490004</v>
      </c>
      <c r="T60" s="7">
        <f t="shared" si="12"/>
        <v>0</v>
      </c>
      <c r="U60" s="7">
        <f t="shared" si="13"/>
        <v>0</v>
      </c>
      <c r="V60" s="8">
        <f t="shared" si="51"/>
        <v>39200.346343490004</v>
      </c>
      <c r="W60" s="5"/>
      <c r="X60" s="5"/>
    </row>
    <row r="61" spans="1:24" x14ac:dyDescent="0.25">
      <c r="A61" s="24" t="s">
        <v>295</v>
      </c>
      <c r="B61" s="2">
        <v>8</v>
      </c>
      <c r="C61" s="34">
        <v>36135</v>
      </c>
      <c r="D61" s="7">
        <f t="shared" si="0"/>
        <v>0</v>
      </c>
      <c r="E61" s="7">
        <f t="shared" si="1"/>
        <v>0</v>
      </c>
      <c r="F61" s="8">
        <f t="shared" si="47"/>
        <v>36135</v>
      </c>
      <c r="G61" s="34">
        <f t="shared" si="17"/>
        <v>37219.050000000003</v>
      </c>
      <c r="H61" s="7">
        <f t="shared" si="3"/>
        <v>0</v>
      </c>
      <c r="I61" s="7">
        <f t="shared" si="4"/>
        <v>0</v>
      </c>
      <c r="J61" s="8">
        <f t="shared" si="48"/>
        <v>37219.050000000003</v>
      </c>
      <c r="K61" s="34">
        <f t="shared" si="18"/>
        <v>38335.621500000001</v>
      </c>
      <c r="L61" s="7">
        <f t="shared" si="6"/>
        <v>0</v>
      </c>
      <c r="M61" s="7">
        <f t="shared" si="7"/>
        <v>0</v>
      </c>
      <c r="N61" s="8">
        <f t="shared" si="49"/>
        <v>38335.621500000001</v>
      </c>
      <c r="O61" s="34">
        <f t="shared" si="19"/>
        <v>39485.690145</v>
      </c>
      <c r="P61" s="7">
        <f t="shared" si="9"/>
        <v>0</v>
      </c>
      <c r="Q61" s="7">
        <f t="shared" si="10"/>
        <v>0</v>
      </c>
      <c r="R61" s="8">
        <f t="shared" si="50"/>
        <v>39485.690145</v>
      </c>
      <c r="S61" s="34">
        <f t="shared" si="20"/>
        <v>40670.260849350001</v>
      </c>
      <c r="T61" s="7">
        <f t="shared" si="12"/>
        <v>0</v>
      </c>
      <c r="U61" s="7">
        <f t="shared" si="13"/>
        <v>0</v>
      </c>
      <c r="V61" s="8">
        <f t="shared" si="51"/>
        <v>40670.260849350001</v>
      </c>
      <c r="W61" s="5"/>
      <c r="X61" s="5"/>
    </row>
    <row r="62" spans="1:24" x14ac:dyDescent="0.25">
      <c r="A62" s="127" t="s">
        <v>294</v>
      </c>
      <c r="B62" s="2">
        <v>9</v>
      </c>
      <c r="C62" s="7">
        <v>37400</v>
      </c>
      <c r="D62" s="7">
        <f t="shared" si="0"/>
        <v>0</v>
      </c>
      <c r="E62" s="7">
        <f t="shared" si="1"/>
        <v>0</v>
      </c>
      <c r="F62" s="7">
        <f t="shared" si="47"/>
        <v>37400</v>
      </c>
      <c r="G62" s="7">
        <f t="shared" si="17"/>
        <v>38522</v>
      </c>
      <c r="H62" s="7">
        <f t="shared" si="3"/>
        <v>0</v>
      </c>
      <c r="I62" s="7">
        <f t="shared" si="4"/>
        <v>0</v>
      </c>
      <c r="J62" s="7">
        <f t="shared" si="48"/>
        <v>38522</v>
      </c>
      <c r="K62" s="7">
        <f t="shared" si="18"/>
        <v>39677.660000000003</v>
      </c>
      <c r="L62" s="7">
        <f t="shared" si="6"/>
        <v>0</v>
      </c>
      <c r="M62" s="7">
        <f t="shared" si="7"/>
        <v>0</v>
      </c>
      <c r="N62" s="7">
        <f t="shared" si="49"/>
        <v>39677.660000000003</v>
      </c>
      <c r="O62" s="7">
        <f t="shared" si="19"/>
        <v>40867.989800000003</v>
      </c>
      <c r="P62" s="7">
        <f t="shared" si="9"/>
        <v>0</v>
      </c>
      <c r="Q62" s="7">
        <f t="shared" si="10"/>
        <v>0</v>
      </c>
      <c r="R62" s="7">
        <f t="shared" si="50"/>
        <v>40867.989800000003</v>
      </c>
      <c r="S62" s="7">
        <f t="shared" si="20"/>
        <v>42094.029494000002</v>
      </c>
      <c r="T62" s="7">
        <f t="shared" si="12"/>
        <v>0</v>
      </c>
      <c r="U62" s="7">
        <f t="shared" si="13"/>
        <v>0</v>
      </c>
      <c r="V62" s="7">
        <f t="shared" si="51"/>
        <v>42094.029494000002</v>
      </c>
      <c r="W62" s="5">
        <f t="shared" ref="W62:W70" si="52">AVERAGE(F62,J62,N62,R62,V62)</f>
        <v>39712.335858800005</v>
      </c>
      <c r="X62" s="5">
        <f t="shared" ref="X62:X70" si="53">SUM(F62,J62,N62,R62,V62)/$X$1</f>
        <v>3309.3613215666674</v>
      </c>
    </row>
    <row r="63" spans="1:24" x14ac:dyDescent="0.25">
      <c r="A63" s="127" t="s">
        <v>293</v>
      </c>
      <c r="B63" s="2">
        <v>10</v>
      </c>
      <c r="C63" s="7">
        <v>38469</v>
      </c>
      <c r="D63" s="7">
        <f t="shared" si="0"/>
        <v>0</v>
      </c>
      <c r="E63" s="7">
        <f t="shared" si="1"/>
        <v>0</v>
      </c>
      <c r="F63" s="7">
        <f t="shared" si="47"/>
        <v>38469</v>
      </c>
      <c r="G63" s="7">
        <f t="shared" si="17"/>
        <v>39623.07</v>
      </c>
      <c r="H63" s="7">
        <f t="shared" si="3"/>
        <v>0</v>
      </c>
      <c r="I63" s="7">
        <f t="shared" si="4"/>
        <v>0</v>
      </c>
      <c r="J63" s="7">
        <f t="shared" si="48"/>
        <v>39623.07</v>
      </c>
      <c r="K63" s="7">
        <f t="shared" si="18"/>
        <v>40811.7621</v>
      </c>
      <c r="L63" s="7">
        <f t="shared" si="6"/>
        <v>0</v>
      </c>
      <c r="M63" s="7">
        <f t="shared" si="7"/>
        <v>0</v>
      </c>
      <c r="N63" s="7">
        <f t="shared" si="49"/>
        <v>40811.7621</v>
      </c>
      <c r="O63" s="7">
        <f t="shared" si="19"/>
        <v>42036.114963</v>
      </c>
      <c r="P63" s="7">
        <f t="shared" si="9"/>
        <v>0</v>
      </c>
      <c r="Q63" s="7">
        <f t="shared" si="10"/>
        <v>0</v>
      </c>
      <c r="R63" s="7">
        <f t="shared" si="50"/>
        <v>42036.114963</v>
      </c>
      <c r="S63" s="7">
        <f t="shared" si="20"/>
        <v>43297.19841189</v>
      </c>
      <c r="T63" s="7">
        <f t="shared" si="12"/>
        <v>0</v>
      </c>
      <c r="U63" s="7">
        <f t="shared" si="13"/>
        <v>0</v>
      </c>
      <c r="V63" s="7">
        <f t="shared" si="51"/>
        <v>43297.19841189</v>
      </c>
      <c r="W63" s="5">
        <f t="shared" si="52"/>
        <v>40847.429094978004</v>
      </c>
      <c r="X63" s="5">
        <f t="shared" si="53"/>
        <v>3403.9524245815001</v>
      </c>
    </row>
    <row r="64" spans="1:24" ht="15.75" thickBot="1" x14ac:dyDescent="0.3">
      <c r="A64" s="25" t="s">
        <v>292</v>
      </c>
      <c r="B64" s="9">
        <v>11</v>
      </c>
      <c r="C64" s="35">
        <v>39547</v>
      </c>
      <c r="D64" s="10">
        <f t="shared" si="0"/>
        <v>0</v>
      </c>
      <c r="E64" s="10">
        <f t="shared" si="1"/>
        <v>0</v>
      </c>
      <c r="F64" s="11">
        <f t="shared" si="47"/>
        <v>39547</v>
      </c>
      <c r="G64" s="35">
        <f t="shared" si="17"/>
        <v>40733.410000000003</v>
      </c>
      <c r="H64" s="10">
        <f t="shared" si="3"/>
        <v>0</v>
      </c>
      <c r="I64" s="10">
        <f t="shared" si="4"/>
        <v>0</v>
      </c>
      <c r="J64" s="11">
        <f t="shared" si="48"/>
        <v>40733.410000000003</v>
      </c>
      <c r="K64" s="35">
        <f t="shared" si="18"/>
        <v>41955.412300000004</v>
      </c>
      <c r="L64" s="10">
        <f t="shared" si="6"/>
        <v>0</v>
      </c>
      <c r="M64" s="10">
        <f t="shared" si="7"/>
        <v>0</v>
      </c>
      <c r="N64" s="11">
        <f t="shared" si="49"/>
        <v>41955.412300000004</v>
      </c>
      <c r="O64" s="35">
        <f t="shared" si="19"/>
        <v>43214.074669000001</v>
      </c>
      <c r="P64" s="10">
        <f t="shared" si="9"/>
        <v>0</v>
      </c>
      <c r="Q64" s="10">
        <f t="shared" si="10"/>
        <v>0</v>
      </c>
      <c r="R64" s="11">
        <f t="shared" si="50"/>
        <v>43214.074669000001</v>
      </c>
      <c r="S64" s="35">
        <f t="shared" si="20"/>
        <v>44510.496909070003</v>
      </c>
      <c r="T64" s="10">
        <f t="shared" si="12"/>
        <v>0</v>
      </c>
      <c r="U64" s="10">
        <f t="shared" si="13"/>
        <v>0</v>
      </c>
      <c r="V64" s="11">
        <f t="shared" si="51"/>
        <v>44510.496909070003</v>
      </c>
      <c r="W64" s="5">
        <f t="shared" si="52"/>
        <v>41992.078775613998</v>
      </c>
      <c r="X64" s="5">
        <f t="shared" si="53"/>
        <v>3499.3398979678332</v>
      </c>
    </row>
    <row r="65" spans="1:24" x14ac:dyDescent="0.25">
      <c r="A65" s="24" t="s">
        <v>291</v>
      </c>
      <c r="B65" s="2">
        <v>1</v>
      </c>
      <c r="C65" s="34">
        <v>26204</v>
      </c>
      <c r="D65" s="7">
        <f t="shared" si="0"/>
        <v>0</v>
      </c>
      <c r="E65" s="7">
        <f t="shared" si="1"/>
        <v>0</v>
      </c>
      <c r="F65" s="8">
        <f>SUM(C65:E65)</f>
        <v>26204</v>
      </c>
      <c r="G65" s="34">
        <f t="shared" si="17"/>
        <v>26990.12</v>
      </c>
      <c r="H65" s="7">
        <f t="shared" si="3"/>
        <v>0</v>
      </c>
      <c r="I65" s="7">
        <f t="shared" si="4"/>
        <v>0</v>
      </c>
      <c r="J65" s="8">
        <f>SUM(G65:I65)</f>
        <v>26990.12</v>
      </c>
      <c r="K65" s="34">
        <f t="shared" si="18"/>
        <v>27799.8236</v>
      </c>
      <c r="L65" s="7">
        <f t="shared" si="6"/>
        <v>0</v>
      </c>
      <c r="M65" s="7">
        <f t="shared" si="7"/>
        <v>0</v>
      </c>
      <c r="N65" s="8">
        <f>SUM(K65:M65)</f>
        <v>27799.8236</v>
      </c>
      <c r="O65" s="34">
        <f t="shared" si="19"/>
        <v>28633.818308000002</v>
      </c>
      <c r="P65" s="7">
        <f t="shared" si="9"/>
        <v>0</v>
      </c>
      <c r="Q65" s="7">
        <f t="shared" si="10"/>
        <v>0</v>
      </c>
      <c r="R65" s="8">
        <f>SUM(O65:Q65)</f>
        <v>28633.818308000002</v>
      </c>
      <c r="S65" s="34">
        <f t="shared" si="20"/>
        <v>29492.832857240002</v>
      </c>
      <c r="T65" s="7">
        <f t="shared" si="12"/>
        <v>0</v>
      </c>
      <c r="U65" s="7">
        <f t="shared" si="13"/>
        <v>0</v>
      </c>
      <c r="V65" s="8">
        <f>SUM(S65:U65)</f>
        <v>29492.832857240002</v>
      </c>
      <c r="W65" s="5">
        <f t="shared" si="52"/>
        <v>27824.118953048001</v>
      </c>
      <c r="X65" s="5">
        <f t="shared" si="53"/>
        <v>2318.6765794206667</v>
      </c>
    </row>
    <row r="66" spans="1:24" x14ac:dyDescent="0.25">
      <c r="A66" s="24" t="s">
        <v>290</v>
      </c>
      <c r="B66" s="2">
        <v>2</v>
      </c>
      <c r="C66" s="34">
        <v>27565</v>
      </c>
      <c r="D66" s="7">
        <f t="shared" si="0"/>
        <v>0</v>
      </c>
      <c r="E66" s="7">
        <f t="shared" si="1"/>
        <v>0</v>
      </c>
      <c r="F66" s="8">
        <f t="shared" ref="F66:F77" si="54">SUM(C66:E66)</f>
        <v>27565</v>
      </c>
      <c r="G66" s="34">
        <f t="shared" si="17"/>
        <v>28391.95</v>
      </c>
      <c r="H66" s="7">
        <f t="shared" si="3"/>
        <v>0</v>
      </c>
      <c r="I66" s="7">
        <f t="shared" si="4"/>
        <v>0</v>
      </c>
      <c r="J66" s="8">
        <f t="shared" ref="J66:J77" si="55">SUM(G66:I66)</f>
        <v>28391.95</v>
      </c>
      <c r="K66" s="34">
        <f t="shared" si="18"/>
        <v>29243.708500000001</v>
      </c>
      <c r="L66" s="7">
        <f t="shared" si="6"/>
        <v>0</v>
      </c>
      <c r="M66" s="7">
        <f t="shared" si="7"/>
        <v>0</v>
      </c>
      <c r="N66" s="8">
        <f t="shared" ref="N66:N77" si="56">SUM(K66:M66)</f>
        <v>29243.708500000001</v>
      </c>
      <c r="O66" s="34">
        <f t="shared" si="19"/>
        <v>30121.019755000001</v>
      </c>
      <c r="P66" s="7">
        <f t="shared" si="9"/>
        <v>0</v>
      </c>
      <c r="Q66" s="7">
        <f t="shared" si="10"/>
        <v>0</v>
      </c>
      <c r="R66" s="8">
        <f t="shared" ref="R66:R77" si="57">SUM(O66:Q66)</f>
        <v>30121.019755000001</v>
      </c>
      <c r="S66" s="34">
        <f t="shared" si="20"/>
        <v>31024.650347650004</v>
      </c>
      <c r="T66" s="7">
        <f t="shared" si="12"/>
        <v>0</v>
      </c>
      <c r="U66" s="7">
        <f t="shared" si="13"/>
        <v>0</v>
      </c>
      <c r="V66" s="8">
        <f t="shared" ref="V66:V77" si="58">SUM(S66:U66)</f>
        <v>31024.650347650004</v>
      </c>
      <c r="W66" s="5">
        <f t="shared" si="52"/>
        <v>29269.265720529998</v>
      </c>
      <c r="X66" s="5">
        <f t="shared" si="53"/>
        <v>2439.1054767108335</v>
      </c>
    </row>
    <row r="67" spans="1:24" x14ac:dyDescent="0.25">
      <c r="A67" s="24" t="s">
        <v>289</v>
      </c>
      <c r="B67" s="2">
        <v>3</v>
      </c>
      <c r="C67" s="34">
        <v>28540</v>
      </c>
      <c r="D67" s="7">
        <f t="shared" si="0"/>
        <v>0</v>
      </c>
      <c r="E67" s="7">
        <f t="shared" si="1"/>
        <v>0</v>
      </c>
      <c r="F67" s="8">
        <f t="shared" si="54"/>
        <v>28540</v>
      </c>
      <c r="G67" s="34">
        <f t="shared" si="17"/>
        <v>29396.2</v>
      </c>
      <c r="H67" s="7">
        <f t="shared" si="3"/>
        <v>0</v>
      </c>
      <c r="I67" s="7">
        <f t="shared" si="4"/>
        <v>0</v>
      </c>
      <c r="J67" s="8">
        <f t="shared" si="55"/>
        <v>29396.2</v>
      </c>
      <c r="K67" s="34">
        <f t="shared" si="18"/>
        <v>30278.086000000003</v>
      </c>
      <c r="L67" s="7">
        <f t="shared" si="6"/>
        <v>0</v>
      </c>
      <c r="M67" s="7">
        <f t="shared" si="7"/>
        <v>0</v>
      </c>
      <c r="N67" s="8">
        <f t="shared" si="56"/>
        <v>30278.086000000003</v>
      </c>
      <c r="O67" s="34">
        <f t="shared" si="19"/>
        <v>31186.428580000003</v>
      </c>
      <c r="P67" s="7">
        <f t="shared" si="9"/>
        <v>0</v>
      </c>
      <c r="Q67" s="7">
        <f t="shared" si="10"/>
        <v>0</v>
      </c>
      <c r="R67" s="8">
        <f t="shared" si="57"/>
        <v>31186.428580000003</v>
      </c>
      <c r="S67" s="34">
        <f t="shared" si="20"/>
        <v>32122.021437400006</v>
      </c>
      <c r="T67" s="7">
        <f t="shared" si="12"/>
        <v>0</v>
      </c>
      <c r="U67" s="7">
        <f t="shared" si="13"/>
        <v>0</v>
      </c>
      <c r="V67" s="8">
        <f t="shared" si="58"/>
        <v>32122.021437400006</v>
      </c>
      <c r="W67" s="5">
        <f t="shared" si="52"/>
        <v>30304.547203479997</v>
      </c>
      <c r="X67" s="5">
        <f t="shared" si="53"/>
        <v>2525.3789336233331</v>
      </c>
    </row>
    <row r="68" spans="1:24" x14ac:dyDescent="0.25">
      <c r="A68" s="24" t="s">
        <v>288</v>
      </c>
      <c r="B68" s="2">
        <v>4</v>
      </c>
      <c r="C68" s="34">
        <v>30027</v>
      </c>
      <c r="D68" s="7">
        <f t="shared" si="0"/>
        <v>0</v>
      </c>
      <c r="E68" s="7">
        <f t="shared" si="1"/>
        <v>0</v>
      </c>
      <c r="F68" s="8">
        <f t="shared" si="54"/>
        <v>30027</v>
      </c>
      <c r="G68" s="34">
        <f t="shared" si="17"/>
        <v>30927.81</v>
      </c>
      <c r="H68" s="7">
        <f t="shared" si="3"/>
        <v>0</v>
      </c>
      <c r="I68" s="7">
        <f t="shared" si="4"/>
        <v>0</v>
      </c>
      <c r="J68" s="8">
        <f t="shared" si="55"/>
        <v>30927.81</v>
      </c>
      <c r="K68" s="34">
        <f t="shared" si="18"/>
        <v>31855.644300000004</v>
      </c>
      <c r="L68" s="7">
        <f t="shared" si="6"/>
        <v>0</v>
      </c>
      <c r="M68" s="7">
        <f t="shared" si="7"/>
        <v>0</v>
      </c>
      <c r="N68" s="8">
        <f t="shared" si="56"/>
        <v>31855.644300000004</v>
      </c>
      <c r="O68" s="34">
        <f t="shared" si="19"/>
        <v>32811.313629000004</v>
      </c>
      <c r="P68" s="7">
        <f t="shared" si="9"/>
        <v>0</v>
      </c>
      <c r="Q68" s="7">
        <f t="shared" si="10"/>
        <v>0</v>
      </c>
      <c r="R68" s="8">
        <f t="shared" si="57"/>
        <v>32811.313629000004</v>
      </c>
      <c r="S68" s="34">
        <f t="shared" si="20"/>
        <v>33795.653037870004</v>
      </c>
      <c r="T68" s="7">
        <f t="shared" si="12"/>
        <v>0</v>
      </c>
      <c r="U68" s="7">
        <f t="shared" si="13"/>
        <v>0</v>
      </c>
      <c r="V68" s="8">
        <f t="shared" si="58"/>
        <v>33795.653037870004</v>
      </c>
      <c r="W68" s="5">
        <f t="shared" si="52"/>
        <v>31883.484193374003</v>
      </c>
      <c r="X68" s="5">
        <f t="shared" si="53"/>
        <v>2656.9570161145002</v>
      </c>
    </row>
    <row r="69" spans="1:24" x14ac:dyDescent="0.25">
      <c r="A69" s="24" t="s">
        <v>287</v>
      </c>
      <c r="B69" s="2">
        <v>5</v>
      </c>
      <c r="C69" s="34">
        <v>31560</v>
      </c>
      <c r="D69" s="7">
        <f t="shared" si="0"/>
        <v>0</v>
      </c>
      <c r="E69" s="7">
        <f t="shared" si="1"/>
        <v>0</v>
      </c>
      <c r="F69" s="8">
        <f t="shared" si="54"/>
        <v>31560</v>
      </c>
      <c r="G69" s="34">
        <f t="shared" si="17"/>
        <v>32506.799999999999</v>
      </c>
      <c r="H69" s="7">
        <f t="shared" si="3"/>
        <v>0</v>
      </c>
      <c r="I69" s="7">
        <f t="shared" si="4"/>
        <v>0</v>
      </c>
      <c r="J69" s="8">
        <f t="shared" si="55"/>
        <v>32506.799999999999</v>
      </c>
      <c r="K69" s="34">
        <f t="shared" si="18"/>
        <v>33482.004000000001</v>
      </c>
      <c r="L69" s="7">
        <f t="shared" si="6"/>
        <v>0</v>
      </c>
      <c r="M69" s="7">
        <f t="shared" si="7"/>
        <v>0</v>
      </c>
      <c r="N69" s="8">
        <f t="shared" si="56"/>
        <v>33482.004000000001</v>
      </c>
      <c r="O69" s="34">
        <f t="shared" si="19"/>
        <v>34486.464120000004</v>
      </c>
      <c r="P69" s="7">
        <f t="shared" si="9"/>
        <v>0</v>
      </c>
      <c r="Q69" s="7">
        <f t="shared" si="10"/>
        <v>0</v>
      </c>
      <c r="R69" s="8">
        <f t="shared" si="57"/>
        <v>34486.464120000004</v>
      </c>
      <c r="S69" s="34">
        <f t="shared" si="20"/>
        <v>35521.058043600002</v>
      </c>
      <c r="T69" s="7">
        <f t="shared" si="12"/>
        <v>0</v>
      </c>
      <c r="U69" s="7">
        <f t="shared" si="13"/>
        <v>0</v>
      </c>
      <c r="V69" s="8">
        <f t="shared" si="58"/>
        <v>35521.058043600002</v>
      </c>
      <c r="W69" s="5">
        <f t="shared" si="52"/>
        <v>33511.265232720005</v>
      </c>
      <c r="X69" s="5">
        <f t="shared" si="53"/>
        <v>2792.6054360600006</v>
      </c>
    </row>
    <row r="70" spans="1:24" x14ac:dyDescent="0.25">
      <c r="A70" s="24" t="s">
        <v>286</v>
      </c>
      <c r="B70" s="2">
        <v>6</v>
      </c>
      <c r="C70" s="34">
        <v>32799</v>
      </c>
      <c r="D70" s="7">
        <f t="shared" si="0"/>
        <v>0</v>
      </c>
      <c r="E70" s="7">
        <f t="shared" si="1"/>
        <v>0</v>
      </c>
      <c r="F70" s="8">
        <f t="shared" si="54"/>
        <v>32799</v>
      </c>
      <c r="G70" s="34">
        <f t="shared" si="17"/>
        <v>33782.97</v>
      </c>
      <c r="H70" s="7">
        <f t="shared" si="3"/>
        <v>0</v>
      </c>
      <c r="I70" s="7">
        <f t="shared" si="4"/>
        <v>0</v>
      </c>
      <c r="J70" s="8">
        <f t="shared" si="55"/>
        <v>33782.97</v>
      </c>
      <c r="K70" s="34">
        <f t="shared" si="18"/>
        <v>34796.4591</v>
      </c>
      <c r="L70" s="7">
        <f t="shared" si="6"/>
        <v>0</v>
      </c>
      <c r="M70" s="7">
        <f t="shared" si="7"/>
        <v>0</v>
      </c>
      <c r="N70" s="8">
        <f t="shared" si="56"/>
        <v>34796.4591</v>
      </c>
      <c r="O70" s="34">
        <f t="shared" si="19"/>
        <v>35840.352873000003</v>
      </c>
      <c r="P70" s="7">
        <f t="shared" si="9"/>
        <v>0</v>
      </c>
      <c r="Q70" s="7">
        <f t="shared" si="10"/>
        <v>0</v>
      </c>
      <c r="R70" s="8">
        <f t="shared" si="57"/>
        <v>35840.352873000003</v>
      </c>
      <c r="S70" s="34">
        <f t="shared" si="20"/>
        <v>36915.563459190002</v>
      </c>
      <c r="T70" s="7">
        <f t="shared" si="12"/>
        <v>0</v>
      </c>
      <c r="U70" s="7">
        <f t="shared" si="13"/>
        <v>0</v>
      </c>
      <c r="V70" s="8">
        <f t="shared" si="58"/>
        <v>36915.563459190002</v>
      </c>
      <c r="W70" s="5">
        <f t="shared" si="52"/>
        <v>34826.869086437997</v>
      </c>
      <c r="X70" s="5">
        <f t="shared" si="53"/>
        <v>2902.2390905365</v>
      </c>
    </row>
    <row r="71" spans="1:24" x14ac:dyDescent="0.25">
      <c r="A71" s="24" t="s">
        <v>285</v>
      </c>
      <c r="B71" s="2">
        <v>7</v>
      </c>
      <c r="C71" s="34">
        <v>34132</v>
      </c>
      <c r="D71" s="7">
        <f t="shared" si="0"/>
        <v>0</v>
      </c>
      <c r="E71" s="7">
        <f t="shared" si="1"/>
        <v>0</v>
      </c>
      <c r="F71" s="8">
        <f t="shared" si="54"/>
        <v>34132</v>
      </c>
      <c r="G71" s="34">
        <f t="shared" si="17"/>
        <v>35155.96</v>
      </c>
      <c r="H71" s="7">
        <f t="shared" si="3"/>
        <v>0</v>
      </c>
      <c r="I71" s="7">
        <f t="shared" si="4"/>
        <v>0</v>
      </c>
      <c r="J71" s="8">
        <f t="shared" si="55"/>
        <v>35155.96</v>
      </c>
      <c r="K71" s="34">
        <f t="shared" si="18"/>
        <v>36210.638800000001</v>
      </c>
      <c r="L71" s="7">
        <f t="shared" si="6"/>
        <v>0</v>
      </c>
      <c r="M71" s="7">
        <f t="shared" si="7"/>
        <v>0</v>
      </c>
      <c r="N71" s="8">
        <f t="shared" si="56"/>
        <v>36210.638800000001</v>
      </c>
      <c r="O71" s="34">
        <f t="shared" si="19"/>
        <v>37296.957964000001</v>
      </c>
      <c r="P71" s="7">
        <f t="shared" si="9"/>
        <v>0</v>
      </c>
      <c r="Q71" s="7">
        <f t="shared" si="10"/>
        <v>0</v>
      </c>
      <c r="R71" s="8">
        <f t="shared" si="57"/>
        <v>37296.957964000001</v>
      </c>
      <c r="S71" s="34">
        <f t="shared" si="20"/>
        <v>38415.866702920001</v>
      </c>
      <c r="T71" s="7">
        <f t="shared" si="12"/>
        <v>0</v>
      </c>
      <c r="U71" s="7">
        <f t="shared" si="13"/>
        <v>0</v>
      </c>
      <c r="V71" s="8">
        <f t="shared" si="58"/>
        <v>38415.866702920001</v>
      </c>
      <c r="W71" s="5"/>
      <c r="X71" s="5"/>
    </row>
    <row r="72" spans="1:24" x14ac:dyDescent="0.25">
      <c r="A72" s="24" t="s">
        <v>284</v>
      </c>
      <c r="B72" s="2">
        <v>8</v>
      </c>
      <c r="C72" s="34">
        <v>35179</v>
      </c>
      <c r="D72" s="7">
        <f t="shared" si="0"/>
        <v>0</v>
      </c>
      <c r="E72" s="7">
        <f t="shared" si="1"/>
        <v>0</v>
      </c>
      <c r="F72" s="8">
        <f t="shared" si="54"/>
        <v>35179</v>
      </c>
      <c r="G72" s="34">
        <f t="shared" si="17"/>
        <v>36234.370000000003</v>
      </c>
      <c r="H72" s="7">
        <f t="shared" si="3"/>
        <v>0</v>
      </c>
      <c r="I72" s="7">
        <f t="shared" si="4"/>
        <v>0</v>
      </c>
      <c r="J72" s="8">
        <f t="shared" si="55"/>
        <v>36234.370000000003</v>
      </c>
      <c r="K72" s="34">
        <f t="shared" si="18"/>
        <v>37321.401100000003</v>
      </c>
      <c r="L72" s="7">
        <f t="shared" si="6"/>
        <v>0</v>
      </c>
      <c r="M72" s="7">
        <f t="shared" si="7"/>
        <v>0</v>
      </c>
      <c r="N72" s="8">
        <f t="shared" si="56"/>
        <v>37321.401100000003</v>
      </c>
      <c r="O72" s="34">
        <f t="shared" si="19"/>
        <v>38441.043133000006</v>
      </c>
      <c r="P72" s="7">
        <f t="shared" si="9"/>
        <v>0</v>
      </c>
      <c r="Q72" s="7">
        <f t="shared" si="10"/>
        <v>0</v>
      </c>
      <c r="R72" s="8">
        <f t="shared" si="57"/>
        <v>38441.043133000006</v>
      </c>
      <c r="S72" s="34">
        <f t="shared" si="20"/>
        <v>39594.274426990007</v>
      </c>
      <c r="T72" s="7">
        <f t="shared" si="12"/>
        <v>0</v>
      </c>
      <c r="U72" s="7">
        <f t="shared" si="13"/>
        <v>0</v>
      </c>
      <c r="V72" s="8">
        <f t="shared" si="58"/>
        <v>39594.274426990007</v>
      </c>
      <c r="W72" s="5"/>
      <c r="X72" s="5"/>
    </row>
    <row r="73" spans="1:24" x14ac:dyDescent="0.25">
      <c r="A73" s="127" t="s">
        <v>283</v>
      </c>
      <c r="B73" s="2">
        <v>9</v>
      </c>
      <c r="C73" s="7">
        <v>36533</v>
      </c>
      <c r="D73" s="7">
        <f t="shared" si="0"/>
        <v>0</v>
      </c>
      <c r="E73" s="7">
        <f t="shared" si="1"/>
        <v>0</v>
      </c>
      <c r="F73" s="7">
        <f t="shared" si="54"/>
        <v>36533</v>
      </c>
      <c r="G73" s="7">
        <f t="shared" si="17"/>
        <v>37628.99</v>
      </c>
      <c r="H73" s="7">
        <f t="shared" si="3"/>
        <v>0</v>
      </c>
      <c r="I73" s="7">
        <f t="shared" si="4"/>
        <v>0</v>
      </c>
      <c r="J73" s="7">
        <f t="shared" si="55"/>
        <v>37628.99</v>
      </c>
      <c r="K73" s="7">
        <f t="shared" si="18"/>
        <v>38757.859700000001</v>
      </c>
      <c r="L73" s="7">
        <f t="shared" si="6"/>
        <v>0</v>
      </c>
      <c r="M73" s="7">
        <f t="shared" si="7"/>
        <v>0</v>
      </c>
      <c r="N73" s="7">
        <f t="shared" si="56"/>
        <v>38757.859700000001</v>
      </c>
      <c r="O73" s="7">
        <f t="shared" si="19"/>
        <v>39920.595491</v>
      </c>
      <c r="P73" s="7">
        <f t="shared" si="9"/>
        <v>0</v>
      </c>
      <c r="Q73" s="7">
        <f t="shared" si="10"/>
        <v>0</v>
      </c>
      <c r="R73" s="7">
        <f t="shared" si="57"/>
        <v>39920.595491</v>
      </c>
      <c r="S73" s="7">
        <f t="shared" si="20"/>
        <v>41118.213355730004</v>
      </c>
      <c r="T73" s="7">
        <f t="shared" si="12"/>
        <v>0</v>
      </c>
      <c r="U73" s="7">
        <f t="shared" si="13"/>
        <v>0</v>
      </c>
      <c r="V73" s="7">
        <f t="shared" si="58"/>
        <v>41118.213355730004</v>
      </c>
      <c r="W73" s="5"/>
      <c r="X73" s="5"/>
    </row>
    <row r="74" spans="1:24" x14ac:dyDescent="0.25">
      <c r="A74" s="127" t="s">
        <v>282</v>
      </c>
      <c r="B74" s="2">
        <v>10</v>
      </c>
      <c r="C74" s="7">
        <v>37909</v>
      </c>
      <c r="D74" s="7">
        <f t="shared" ref="D74:D77" si="59">C74*$F$2</f>
        <v>0</v>
      </c>
      <c r="E74" s="7">
        <f t="shared" ref="E74:E77" si="60">C74*$F$3</f>
        <v>0</v>
      </c>
      <c r="F74" s="7">
        <f t="shared" si="54"/>
        <v>37909</v>
      </c>
      <c r="G74" s="7">
        <f t="shared" si="17"/>
        <v>39046.270000000004</v>
      </c>
      <c r="H74" s="7">
        <f t="shared" ref="H74:H77" si="61">G74*$F$2</f>
        <v>0</v>
      </c>
      <c r="I74" s="7">
        <f t="shared" ref="I74:I77" si="62">G74*$F$3</f>
        <v>0</v>
      </c>
      <c r="J74" s="7">
        <f t="shared" si="55"/>
        <v>39046.270000000004</v>
      </c>
      <c r="K74" s="7">
        <f t="shared" si="18"/>
        <v>40217.658100000008</v>
      </c>
      <c r="L74" s="7">
        <f t="shared" ref="L74:L77" si="63">K74*$F$2</f>
        <v>0</v>
      </c>
      <c r="M74" s="7">
        <f t="shared" ref="M74:M77" si="64">K74*$F$3</f>
        <v>0</v>
      </c>
      <c r="N74" s="7">
        <f t="shared" si="56"/>
        <v>40217.658100000008</v>
      </c>
      <c r="O74" s="7">
        <f t="shared" si="19"/>
        <v>41424.187843000007</v>
      </c>
      <c r="P74" s="7">
        <f t="shared" ref="P74:P77" si="65">O74*$F$2</f>
        <v>0</v>
      </c>
      <c r="Q74" s="7">
        <f t="shared" ref="Q74:Q77" si="66">O74*$F$3</f>
        <v>0</v>
      </c>
      <c r="R74" s="7">
        <f t="shared" si="57"/>
        <v>41424.187843000007</v>
      </c>
      <c r="S74" s="7">
        <f t="shared" si="20"/>
        <v>42666.913478290007</v>
      </c>
      <c r="T74" s="7">
        <f t="shared" ref="T74:T77" si="67">S74*$F$2</f>
        <v>0</v>
      </c>
      <c r="U74" s="7">
        <f t="shared" ref="U74:U77" si="68">S74*$F$3</f>
        <v>0</v>
      </c>
      <c r="V74" s="7">
        <f t="shared" si="58"/>
        <v>42666.913478290007</v>
      </c>
      <c r="W74" s="5"/>
      <c r="X74" s="5"/>
    </row>
    <row r="75" spans="1:24" x14ac:dyDescent="0.25">
      <c r="A75" s="24" t="s">
        <v>281</v>
      </c>
      <c r="B75" s="2">
        <v>11</v>
      </c>
      <c r="C75" s="34">
        <v>39244</v>
      </c>
      <c r="D75" s="7">
        <f t="shared" si="59"/>
        <v>0</v>
      </c>
      <c r="E75" s="7">
        <f t="shared" si="60"/>
        <v>0</v>
      </c>
      <c r="F75" s="8">
        <f t="shared" si="54"/>
        <v>39244</v>
      </c>
      <c r="G75" s="34">
        <f t="shared" ref="G75:G77" si="69">C75*$F$4</f>
        <v>40421.32</v>
      </c>
      <c r="H75" s="7">
        <f t="shared" si="61"/>
        <v>0</v>
      </c>
      <c r="I75" s="7">
        <f t="shared" si="62"/>
        <v>0</v>
      </c>
      <c r="J75" s="8">
        <f t="shared" si="55"/>
        <v>40421.32</v>
      </c>
      <c r="K75" s="34">
        <f t="shared" ref="K75:K77" si="70">G75*$F$4</f>
        <v>41633.959600000002</v>
      </c>
      <c r="L75" s="7">
        <f t="shared" si="63"/>
        <v>0</v>
      </c>
      <c r="M75" s="7">
        <f t="shared" si="64"/>
        <v>0</v>
      </c>
      <c r="N75" s="8">
        <f t="shared" si="56"/>
        <v>41633.959600000002</v>
      </c>
      <c r="O75" s="34">
        <f t="shared" ref="O75:O77" si="71">K75*$F$4</f>
        <v>42882.978388000003</v>
      </c>
      <c r="P75" s="7">
        <f t="shared" si="65"/>
        <v>0</v>
      </c>
      <c r="Q75" s="7">
        <f t="shared" si="66"/>
        <v>0</v>
      </c>
      <c r="R75" s="8">
        <f t="shared" si="57"/>
        <v>42882.978388000003</v>
      </c>
      <c r="S75" s="34">
        <f t="shared" ref="S75:S77" si="72">O75*$F$4</f>
        <v>44169.467739640007</v>
      </c>
      <c r="T75" s="7">
        <f t="shared" si="67"/>
        <v>0</v>
      </c>
      <c r="U75" s="7">
        <f t="shared" si="68"/>
        <v>0</v>
      </c>
      <c r="V75" s="8">
        <f t="shared" si="58"/>
        <v>44169.467739640007</v>
      </c>
      <c r="W75" s="5"/>
      <c r="X75" s="5"/>
    </row>
    <row r="76" spans="1:24" x14ac:dyDescent="0.25">
      <c r="A76" s="127" t="s">
        <v>280</v>
      </c>
      <c r="B76" s="2">
        <v>12</v>
      </c>
      <c r="C76" s="7">
        <v>40362</v>
      </c>
      <c r="D76" s="7">
        <f t="shared" si="59"/>
        <v>0</v>
      </c>
      <c r="E76" s="7">
        <f t="shared" si="60"/>
        <v>0</v>
      </c>
      <c r="F76" s="7">
        <f t="shared" si="54"/>
        <v>40362</v>
      </c>
      <c r="G76" s="7">
        <f t="shared" si="69"/>
        <v>41572.86</v>
      </c>
      <c r="H76" s="7">
        <f t="shared" si="61"/>
        <v>0</v>
      </c>
      <c r="I76" s="7">
        <f t="shared" si="62"/>
        <v>0</v>
      </c>
      <c r="J76" s="7">
        <f t="shared" si="55"/>
        <v>41572.86</v>
      </c>
      <c r="K76" s="7">
        <f t="shared" si="70"/>
        <v>42820.0458</v>
      </c>
      <c r="L76" s="7">
        <f t="shared" si="63"/>
        <v>0</v>
      </c>
      <c r="M76" s="7">
        <f t="shared" si="64"/>
        <v>0</v>
      </c>
      <c r="N76" s="7">
        <f t="shared" si="56"/>
        <v>42820.0458</v>
      </c>
      <c r="O76" s="7">
        <f t="shared" si="71"/>
        <v>44104.647173999998</v>
      </c>
      <c r="P76" s="7">
        <f t="shared" si="65"/>
        <v>0</v>
      </c>
      <c r="Q76" s="7">
        <f t="shared" si="66"/>
        <v>0</v>
      </c>
      <c r="R76" s="7">
        <f t="shared" si="57"/>
        <v>44104.647173999998</v>
      </c>
      <c r="S76" s="7">
        <f t="shared" si="72"/>
        <v>45427.786589219999</v>
      </c>
      <c r="T76" s="7">
        <f t="shared" si="67"/>
        <v>0</v>
      </c>
      <c r="U76" s="7">
        <f t="shared" si="68"/>
        <v>0</v>
      </c>
      <c r="V76" s="7">
        <f t="shared" si="58"/>
        <v>45427.786589219999</v>
      </c>
      <c r="W76" s="5"/>
      <c r="X76" s="5"/>
    </row>
    <row r="77" spans="1:24" x14ac:dyDescent="0.25">
      <c r="A77" s="127" t="s">
        <v>279</v>
      </c>
      <c r="B77" s="2">
        <v>13</v>
      </c>
      <c r="C77" s="7">
        <v>41505</v>
      </c>
      <c r="D77" s="7">
        <f t="shared" si="59"/>
        <v>0</v>
      </c>
      <c r="E77" s="7">
        <f t="shared" si="60"/>
        <v>0</v>
      </c>
      <c r="F77" s="7">
        <f t="shared" si="54"/>
        <v>41505</v>
      </c>
      <c r="G77" s="7">
        <f t="shared" si="69"/>
        <v>42750.15</v>
      </c>
      <c r="H77" s="7">
        <f t="shared" si="61"/>
        <v>0</v>
      </c>
      <c r="I77" s="7">
        <f t="shared" si="62"/>
        <v>0</v>
      </c>
      <c r="J77" s="7">
        <f t="shared" si="55"/>
        <v>42750.15</v>
      </c>
      <c r="K77" s="7">
        <f t="shared" si="70"/>
        <v>44032.654500000004</v>
      </c>
      <c r="L77" s="7">
        <f t="shared" si="63"/>
        <v>0</v>
      </c>
      <c r="M77" s="7">
        <f t="shared" si="64"/>
        <v>0</v>
      </c>
      <c r="N77" s="7">
        <f t="shared" si="56"/>
        <v>44032.654500000004</v>
      </c>
      <c r="O77" s="7">
        <f t="shared" si="71"/>
        <v>45353.634135000008</v>
      </c>
      <c r="P77" s="7">
        <f t="shared" si="65"/>
        <v>0</v>
      </c>
      <c r="Q77" s="7">
        <f t="shared" si="66"/>
        <v>0</v>
      </c>
      <c r="R77" s="7">
        <f t="shared" si="57"/>
        <v>45353.634135000008</v>
      </c>
      <c r="S77" s="7">
        <f t="shared" si="72"/>
        <v>46714.243159050005</v>
      </c>
      <c r="T77" s="7">
        <f t="shared" si="67"/>
        <v>0</v>
      </c>
      <c r="U77" s="7">
        <f t="shared" si="68"/>
        <v>0</v>
      </c>
      <c r="V77" s="7">
        <f t="shared" si="58"/>
        <v>46714.243159050005</v>
      </c>
      <c r="W77" s="5"/>
      <c r="X77" s="5"/>
    </row>
    <row r="78" spans="1:24" x14ac:dyDescent="0.25">
      <c r="A78" s="119" t="s">
        <v>266</v>
      </c>
      <c r="B78" s="2"/>
      <c r="C78" s="34">
        <v>0</v>
      </c>
      <c r="D78" s="7"/>
      <c r="E78" s="7"/>
      <c r="F78" s="8"/>
      <c r="G78" s="34"/>
      <c r="H78" s="7"/>
      <c r="I78" s="7"/>
      <c r="J78" s="8">
        <f t="shared" ref="J78:J79" si="73">$J$70</f>
        <v>33782.97</v>
      </c>
      <c r="K78" s="34"/>
      <c r="L78" s="7"/>
      <c r="M78" s="7"/>
      <c r="N78" s="8">
        <f t="shared" ref="N78:N79" si="74">$N$70</f>
        <v>34796.4591</v>
      </c>
      <c r="O78" s="34"/>
      <c r="P78" s="7"/>
      <c r="Q78" s="7"/>
      <c r="R78" s="8">
        <f t="shared" ref="R78:R79" si="75">$R$70</f>
        <v>35840.352873000003</v>
      </c>
      <c r="S78" s="34"/>
      <c r="T78" s="7"/>
      <c r="U78" s="7"/>
      <c r="V78" s="8">
        <f t="shared" ref="V78:V79" si="76">$V$70</f>
        <v>36915.563459190002</v>
      </c>
      <c r="W78" s="5"/>
      <c r="X78" s="5"/>
    </row>
    <row r="79" spans="1:24" ht="15.75" thickBot="1" x14ac:dyDescent="0.3">
      <c r="A79" s="119" t="s">
        <v>266</v>
      </c>
      <c r="B79" s="2"/>
      <c r="C79" s="34">
        <v>0</v>
      </c>
      <c r="D79" s="7"/>
      <c r="E79" s="7"/>
      <c r="F79" s="8"/>
      <c r="G79" s="34"/>
      <c r="H79" s="7"/>
      <c r="I79" s="7"/>
      <c r="J79" s="8">
        <f t="shared" si="73"/>
        <v>33782.97</v>
      </c>
      <c r="K79" s="34"/>
      <c r="L79" s="7"/>
      <c r="M79" s="7"/>
      <c r="N79" s="8">
        <f t="shared" si="74"/>
        <v>34796.4591</v>
      </c>
      <c r="O79" s="34"/>
      <c r="P79" s="7"/>
      <c r="Q79" s="7"/>
      <c r="R79" s="8">
        <f t="shared" si="75"/>
        <v>35840.352873000003</v>
      </c>
      <c r="S79" s="34"/>
      <c r="T79" s="7"/>
      <c r="U79" s="7"/>
      <c r="V79" s="8">
        <f t="shared" si="76"/>
        <v>36915.563459190002</v>
      </c>
      <c r="W79" s="5"/>
      <c r="X79" s="5"/>
    </row>
    <row r="80" spans="1:24" x14ac:dyDescent="0.25">
      <c r="A80" s="26" t="s">
        <v>311</v>
      </c>
      <c r="B80" s="27">
        <v>1</v>
      </c>
      <c r="C80" s="37">
        <v>45207</v>
      </c>
      <c r="D80" s="28">
        <f t="shared" ref="D80:D88" si="77">C80*$F$2</f>
        <v>0</v>
      </c>
      <c r="E80" s="28">
        <f t="shared" ref="E80:E88" si="78">C80*$F$3</f>
        <v>0</v>
      </c>
      <c r="F80" s="29">
        <f t="shared" ref="F80:F88" si="79">SUM(C80:E80)</f>
        <v>45207</v>
      </c>
      <c r="G80" s="37">
        <f t="shared" ref="G80:G88" si="80">C80*$F$4</f>
        <v>46563.21</v>
      </c>
      <c r="H80" s="28">
        <f t="shared" ref="H80:H88" si="81">G80*$F$2</f>
        <v>0</v>
      </c>
      <c r="I80" s="28">
        <f t="shared" ref="I80:I88" si="82">G80*$F$3</f>
        <v>0</v>
      </c>
      <c r="J80" s="29">
        <f t="shared" ref="J80:J88" si="83">SUM(G80:I80)</f>
        <v>46563.21</v>
      </c>
      <c r="K80" s="37">
        <f t="shared" ref="K80:K88" si="84">G80*$F$4</f>
        <v>47960.106299999999</v>
      </c>
      <c r="L80" s="28">
        <f t="shared" ref="L80:L88" si="85">K80*$F$2</f>
        <v>0</v>
      </c>
      <c r="M80" s="28">
        <f t="shared" ref="M80:M88" si="86">K80*$F$3</f>
        <v>0</v>
      </c>
      <c r="N80" s="29">
        <f t="shared" ref="N80:N88" si="87">SUM(K80:M80)</f>
        <v>47960.106299999999</v>
      </c>
      <c r="O80" s="37">
        <f t="shared" ref="O80:O88" si="88">K80*$F$4</f>
        <v>49398.909488999998</v>
      </c>
      <c r="P80" s="28">
        <f t="shared" ref="P80:P88" si="89">O80*$F$2</f>
        <v>0</v>
      </c>
      <c r="Q80" s="28">
        <f t="shared" ref="Q80:Q88" si="90">O80*$F$3</f>
        <v>0</v>
      </c>
      <c r="R80" s="29">
        <f t="shared" ref="R80:R88" si="91">SUM(O80:Q80)</f>
        <v>49398.909488999998</v>
      </c>
      <c r="S80" s="37">
        <f t="shared" ref="S80:S88" si="92">O80*$F$4</f>
        <v>50880.876773669996</v>
      </c>
      <c r="T80" s="28">
        <f t="shared" ref="T80:T88" si="93">S80*$F$2</f>
        <v>0</v>
      </c>
      <c r="U80" s="28">
        <f t="shared" ref="U80:U88" si="94">S80*$F$3</f>
        <v>0</v>
      </c>
      <c r="V80" s="29">
        <f t="shared" ref="V80:V88" si="95">SUM(S80:U80)</f>
        <v>50880.876773669996</v>
      </c>
      <c r="W80" s="5">
        <f t="shared" ref="W80:W88" si="96">AVERAGE(F80,J80,N80,R80,V80)</f>
        <v>48002.020512534</v>
      </c>
      <c r="X80" s="5">
        <f t="shared" ref="X80:X88" si="97">SUM(F80,J80,N80,R80,V80)/$X$1</f>
        <v>4000.1683760444998</v>
      </c>
    </row>
    <row r="81" spans="1:24" x14ac:dyDescent="0.25">
      <c r="A81" s="24" t="s">
        <v>310</v>
      </c>
      <c r="B81" s="2">
        <v>2</v>
      </c>
      <c r="C81" s="34">
        <v>47144</v>
      </c>
      <c r="D81" s="7">
        <f t="shared" si="77"/>
        <v>0</v>
      </c>
      <c r="E81" s="7">
        <f t="shared" si="78"/>
        <v>0</v>
      </c>
      <c r="F81" s="8">
        <f t="shared" si="79"/>
        <v>47144</v>
      </c>
      <c r="G81" s="34">
        <f t="shared" si="80"/>
        <v>48558.32</v>
      </c>
      <c r="H81" s="7">
        <f t="shared" si="81"/>
        <v>0</v>
      </c>
      <c r="I81" s="7">
        <f t="shared" si="82"/>
        <v>0</v>
      </c>
      <c r="J81" s="8">
        <f t="shared" si="83"/>
        <v>48558.32</v>
      </c>
      <c r="K81" s="34">
        <f t="shared" si="84"/>
        <v>50015.069600000003</v>
      </c>
      <c r="L81" s="7">
        <f t="shared" si="85"/>
        <v>0</v>
      </c>
      <c r="M81" s="7">
        <f t="shared" si="86"/>
        <v>0</v>
      </c>
      <c r="N81" s="8">
        <f t="shared" si="87"/>
        <v>50015.069600000003</v>
      </c>
      <c r="O81" s="34">
        <f t="shared" si="88"/>
        <v>51515.521688000001</v>
      </c>
      <c r="P81" s="7">
        <f t="shared" si="89"/>
        <v>0</v>
      </c>
      <c r="Q81" s="7">
        <f t="shared" si="90"/>
        <v>0</v>
      </c>
      <c r="R81" s="8">
        <f t="shared" si="91"/>
        <v>51515.521688000001</v>
      </c>
      <c r="S81" s="34">
        <f t="shared" si="92"/>
        <v>53060.98733864</v>
      </c>
      <c r="T81" s="7">
        <f t="shared" si="93"/>
        <v>0</v>
      </c>
      <c r="U81" s="7">
        <f t="shared" si="94"/>
        <v>0</v>
      </c>
      <c r="V81" s="8">
        <f t="shared" si="95"/>
        <v>53060.98733864</v>
      </c>
      <c r="W81" s="5">
        <f t="shared" si="96"/>
        <v>50058.779725328</v>
      </c>
      <c r="X81" s="5">
        <f t="shared" si="97"/>
        <v>4171.5649771106664</v>
      </c>
    </row>
    <row r="82" spans="1:24" x14ac:dyDescent="0.25">
      <c r="A82" s="24" t="s">
        <v>309</v>
      </c>
      <c r="B82" s="2">
        <v>3</v>
      </c>
      <c r="C82" s="34">
        <v>49077</v>
      </c>
      <c r="D82" s="7">
        <f t="shared" si="77"/>
        <v>0</v>
      </c>
      <c r="E82" s="7">
        <f t="shared" si="78"/>
        <v>0</v>
      </c>
      <c r="F82" s="8">
        <f t="shared" si="79"/>
        <v>49077</v>
      </c>
      <c r="G82" s="34">
        <f t="shared" si="80"/>
        <v>50549.31</v>
      </c>
      <c r="H82" s="7">
        <f t="shared" si="81"/>
        <v>0</v>
      </c>
      <c r="I82" s="7">
        <f t="shared" si="82"/>
        <v>0</v>
      </c>
      <c r="J82" s="8">
        <f t="shared" si="83"/>
        <v>50549.31</v>
      </c>
      <c r="K82" s="34">
        <f t="shared" si="84"/>
        <v>52065.789299999997</v>
      </c>
      <c r="L82" s="7">
        <f t="shared" si="85"/>
        <v>0</v>
      </c>
      <c r="M82" s="7">
        <f t="shared" si="86"/>
        <v>0</v>
      </c>
      <c r="N82" s="8">
        <f t="shared" si="87"/>
        <v>52065.789299999997</v>
      </c>
      <c r="O82" s="34">
        <f t="shared" si="88"/>
        <v>53627.762978999999</v>
      </c>
      <c r="P82" s="7">
        <f t="shared" si="89"/>
        <v>0</v>
      </c>
      <c r="Q82" s="7">
        <f t="shared" si="90"/>
        <v>0</v>
      </c>
      <c r="R82" s="8">
        <f t="shared" si="91"/>
        <v>53627.762978999999</v>
      </c>
      <c r="S82" s="34">
        <f t="shared" si="92"/>
        <v>55236.595868370001</v>
      </c>
      <c r="T82" s="7">
        <f t="shared" si="93"/>
        <v>0</v>
      </c>
      <c r="U82" s="7">
        <f t="shared" si="94"/>
        <v>0</v>
      </c>
      <c r="V82" s="8">
        <f t="shared" si="95"/>
        <v>55236.595868370001</v>
      </c>
      <c r="W82" s="5">
        <f t="shared" si="96"/>
        <v>52111.291629473999</v>
      </c>
      <c r="X82" s="5">
        <f t="shared" si="97"/>
        <v>4342.6076357894999</v>
      </c>
    </row>
    <row r="83" spans="1:24" x14ac:dyDescent="0.25">
      <c r="A83" s="24" t="s">
        <v>308</v>
      </c>
      <c r="B83" s="2">
        <v>4</v>
      </c>
      <c r="C83" s="34">
        <v>50977</v>
      </c>
      <c r="D83" s="7">
        <f t="shared" si="77"/>
        <v>0</v>
      </c>
      <c r="E83" s="7">
        <f t="shared" si="78"/>
        <v>0</v>
      </c>
      <c r="F83" s="8">
        <f t="shared" si="79"/>
        <v>50977</v>
      </c>
      <c r="G83" s="34">
        <f t="shared" si="80"/>
        <v>52506.310000000005</v>
      </c>
      <c r="H83" s="7">
        <f t="shared" si="81"/>
        <v>0</v>
      </c>
      <c r="I83" s="7">
        <f t="shared" si="82"/>
        <v>0</v>
      </c>
      <c r="J83" s="8">
        <f t="shared" si="83"/>
        <v>52506.310000000005</v>
      </c>
      <c r="K83" s="34">
        <f t="shared" si="84"/>
        <v>54081.499300000003</v>
      </c>
      <c r="L83" s="7">
        <f t="shared" si="85"/>
        <v>0</v>
      </c>
      <c r="M83" s="7">
        <f t="shared" si="86"/>
        <v>0</v>
      </c>
      <c r="N83" s="8">
        <f t="shared" si="87"/>
        <v>54081.499300000003</v>
      </c>
      <c r="O83" s="34">
        <f t="shared" si="88"/>
        <v>55703.944279000003</v>
      </c>
      <c r="P83" s="7">
        <f t="shared" si="89"/>
        <v>0</v>
      </c>
      <c r="Q83" s="7">
        <f t="shared" si="90"/>
        <v>0</v>
      </c>
      <c r="R83" s="8">
        <f t="shared" si="91"/>
        <v>55703.944279000003</v>
      </c>
      <c r="S83" s="34">
        <f t="shared" si="92"/>
        <v>57375.062607370004</v>
      </c>
      <c r="T83" s="7">
        <f t="shared" si="93"/>
        <v>0</v>
      </c>
      <c r="U83" s="7">
        <f t="shared" si="94"/>
        <v>0</v>
      </c>
      <c r="V83" s="8">
        <f t="shared" si="95"/>
        <v>57375.062607370004</v>
      </c>
      <c r="W83" s="5">
        <f t="shared" si="96"/>
        <v>54128.763237274004</v>
      </c>
      <c r="X83" s="5">
        <f t="shared" si="97"/>
        <v>4510.7302697728337</v>
      </c>
    </row>
    <row r="84" spans="1:24" x14ac:dyDescent="0.25">
      <c r="A84" s="24" t="s">
        <v>307</v>
      </c>
      <c r="B84" s="2">
        <v>5</v>
      </c>
      <c r="C84" s="34">
        <v>52986</v>
      </c>
      <c r="D84" s="7">
        <f t="shared" si="77"/>
        <v>0</v>
      </c>
      <c r="E84" s="7">
        <f t="shared" si="78"/>
        <v>0</v>
      </c>
      <c r="F84" s="8">
        <f t="shared" si="79"/>
        <v>52986</v>
      </c>
      <c r="G84" s="34">
        <f t="shared" si="80"/>
        <v>54575.58</v>
      </c>
      <c r="H84" s="7">
        <f t="shared" si="81"/>
        <v>0</v>
      </c>
      <c r="I84" s="7">
        <f t="shared" si="82"/>
        <v>0</v>
      </c>
      <c r="J84" s="8">
        <f t="shared" si="83"/>
        <v>54575.58</v>
      </c>
      <c r="K84" s="34">
        <f t="shared" si="84"/>
        <v>56212.847400000006</v>
      </c>
      <c r="L84" s="7">
        <f t="shared" si="85"/>
        <v>0</v>
      </c>
      <c r="M84" s="7">
        <f t="shared" si="86"/>
        <v>0</v>
      </c>
      <c r="N84" s="8">
        <f t="shared" si="87"/>
        <v>56212.847400000006</v>
      </c>
      <c r="O84" s="34">
        <f t="shared" si="88"/>
        <v>57899.232822000005</v>
      </c>
      <c r="P84" s="7">
        <f t="shared" si="89"/>
        <v>0</v>
      </c>
      <c r="Q84" s="7">
        <f t="shared" si="90"/>
        <v>0</v>
      </c>
      <c r="R84" s="8">
        <f t="shared" si="91"/>
        <v>57899.232822000005</v>
      </c>
      <c r="S84" s="34">
        <f t="shared" si="92"/>
        <v>59636.209806660008</v>
      </c>
      <c r="T84" s="7">
        <f t="shared" si="93"/>
        <v>0</v>
      </c>
      <c r="U84" s="7">
        <f t="shared" si="94"/>
        <v>0</v>
      </c>
      <c r="V84" s="8">
        <f t="shared" si="95"/>
        <v>59636.209806660008</v>
      </c>
      <c r="W84" s="5">
        <f t="shared" si="96"/>
        <v>56261.974005732009</v>
      </c>
      <c r="X84" s="5">
        <f t="shared" si="97"/>
        <v>4688.4978338110004</v>
      </c>
    </row>
    <row r="85" spans="1:24" x14ac:dyDescent="0.25">
      <c r="A85" s="24" t="s">
        <v>306</v>
      </c>
      <c r="B85" s="2">
        <v>6</v>
      </c>
      <c r="C85" s="34">
        <v>55020</v>
      </c>
      <c r="D85" s="7">
        <f t="shared" si="77"/>
        <v>0</v>
      </c>
      <c r="E85" s="7">
        <f t="shared" si="78"/>
        <v>0</v>
      </c>
      <c r="F85" s="8">
        <f t="shared" si="79"/>
        <v>55020</v>
      </c>
      <c r="G85" s="34">
        <f t="shared" si="80"/>
        <v>56670.6</v>
      </c>
      <c r="H85" s="7">
        <f t="shared" si="81"/>
        <v>0</v>
      </c>
      <c r="I85" s="7">
        <f t="shared" si="82"/>
        <v>0</v>
      </c>
      <c r="J85" s="8">
        <f t="shared" si="83"/>
        <v>56670.6</v>
      </c>
      <c r="K85" s="34">
        <f t="shared" si="84"/>
        <v>58370.718000000001</v>
      </c>
      <c r="L85" s="7">
        <f t="shared" si="85"/>
        <v>0</v>
      </c>
      <c r="M85" s="7">
        <f t="shared" si="86"/>
        <v>0</v>
      </c>
      <c r="N85" s="8">
        <f t="shared" si="87"/>
        <v>58370.718000000001</v>
      </c>
      <c r="O85" s="34">
        <f t="shared" si="88"/>
        <v>60121.839540000001</v>
      </c>
      <c r="P85" s="7">
        <f t="shared" si="89"/>
        <v>0</v>
      </c>
      <c r="Q85" s="7">
        <f t="shared" si="90"/>
        <v>0</v>
      </c>
      <c r="R85" s="8">
        <f t="shared" si="91"/>
        <v>60121.839540000001</v>
      </c>
      <c r="S85" s="34">
        <f t="shared" si="92"/>
        <v>61925.494726200006</v>
      </c>
      <c r="T85" s="7">
        <f t="shared" si="93"/>
        <v>0</v>
      </c>
      <c r="U85" s="7">
        <f t="shared" si="94"/>
        <v>0</v>
      </c>
      <c r="V85" s="8">
        <f t="shared" si="95"/>
        <v>61925.494726200006</v>
      </c>
      <c r="W85" s="5">
        <f t="shared" si="96"/>
        <v>58421.730453240001</v>
      </c>
      <c r="X85" s="5">
        <f t="shared" si="97"/>
        <v>4868.4775377699998</v>
      </c>
    </row>
    <row r="86" spans="1:24" x14ac:dyDescent="0.25">
      <c r="A86" s="24" t="s">
        <v>305</v>
      </c>
      <c r="B86" s="2">
        <v>7</v>
      </c>
      <c r="C86" s="34">
        <v>57028</v>
      </c>
      <c r="D86" s="7">
        <f t="shared" si="77"/>
        <v>0</v>
      </c>
      <c r="E86" s="7">
        <f t="shared" si="78"/>
        <v>0</v>
      </c>
      <c r="F86" s="8">
        <f t="shared" si="79"/>
        <v>57028</v>
      </c>
      <c r="G86" s="34">
        <f t="shared" si="80"/>
        <v>58738.840000000004</v>
      </c>
      <c r="H86" s="7">
        <f t="shared" si="81"/>
        <v>0</v>
      </c>
      <c r="I86" s="7">
        <f t="shared" si="82"/>
        <v>0</v>
      </c>
      <c r="J86" s="8">
        <f t="shared" si="83"/>
        <v>58738.840000000004</v>
      </c>
      <c r="K86" s="34">
        <f t="shared" si="84"/>
        <v>60501.005200000007</v>
      </c>
      <c r="L86" s="7">
        <f t="shared" si="85"/>
        <v>0</v>
      </c>
      <c r="M86" s="7">
        <f t="shared" si="86"/>
        <v>0</v>
      </c>
      <c r="N86" s="8">
        <f t="shared" si="87"/>
        <v>60501.005200000007</v>
      </c>
      <c r="O86" s="34">
        <f t="shared" si="88"/>
        <v>62316.035356000008</v>
      </c>
      <c r="P86" s="7">
        <f t="shared" si="89"/>
        <v>0</v>
      </c>
      <c r="Q86" s="7">
        <f t="shared" si="90"/>
        <v>0</v>
      </c>
      <c r="R86" s="8">
        <f t="shared" si="91"/>
        <v>62316.035356000008</v>
      </c>
      <c r="S86" s="34">
        <f t="shared" si="92"/>
        <v>64185.51641668001</v>
      </c>
      <c r="T86" s="7">
        <f t="shared" si="93"/>
        <v>0</v>
      </c>
      <c r="U86" s="7">
        <f t="shared" si="94"/>
        <v>0</v>
      </c>
      <c r="V86" s="8">
        <f t="shared" si="95"/>
        <v>64185.51641668001</v>
      </c>
      <c r="W86" s="5">
        <f t="shared" si="96"/>
        <v>60553.879394536001</v>
      </c>
      <c r="X86" s="5">
        <f t="shared" si="97"/>
        <v>5046.1566162113331</v>
      </c>
    </row>
    <row r="87" spans="1:24" x14ac:dyDescent="0.25">
      <c r="A87" s="24" t="s">
        <v>304</v>
      </c>
      <c r="B87" s="2">
        <v>8</v>
      </c>
      <c r="C87" s="34">
        <v>59130</v>
      </c>
      <c r="D87" s="7">
        <f t="shared" si="77"/>
        <v>0</v>
      </c>
      <c r="E87" s="7">
        <f t="shared" si="78"/>
        <v>0</v>
      </c>
      <c r="F87" s="8">
        <f t="shared" si="79"/>
        <v>59130</v>
      </c>
      <c r="G87" s="34">
        <f t="shared" si="80"/>
        <v>60903.9</v>
      </c>
      <c r="H87" s="7">
        <f t="shared" si="81"/>
        <v>0</v>
      </c>
      <c r="I87" s="7">
        <f t="shared" si="82"/>
        <v>0</v>
      </c>
      <c r="J87" s="8">
        <f t="shared" si="83"/>
        <v>60903.9</v>
      </c>
      <c r="K87" s="34">
        <f t="shared" si="84"/>
        <v>62731.017</v>
      </c>
      <c r="L87" s="7">
        <f t="shared" si="85"/>
        <v>0</v>
      </c>
      <c r="M87" s="7">
        <f t="shared" si="86"/>
        <v>0</v>
      </c>
      <c r="N87" s="8">
        <f t="shared" si="87"/>
        <v>62731.017</v>
      </c>
      <c r="O87" s="34">
        <f t="shared" si="88"/>
        <v>64612.947509999998</v>
      </c>
      <c r="P87" s="7">
        <f t="shared" si="89"/>
        <v>0</v>
      </c>
      <c r="Q87" s="7">
        <f t="shared" si="90"/>
        <v>0</v>
      </c>
      <c r="R87" s="8">
        <f t="shared" si="91"/>
        <v>64612.947509999998</v>
      </c>
      <c r="S87" s="34">
        <f t="shared" si="92"/>
        <v>66551.335935299998</v>
      </c>
      <c r="T87" s="7">
        <f t="shared" si="93"/>
        <v>0</v>
      </c>
      <c r="U87" s="7">
        <f t="shared" si="94"/>
        <v>0</v>
      </c>
      <c r="V87" s="8">
        <f t="shared" si="95"/>
        <v>66551.335935299998</v>
      </c>
      <c r="W87" s="5">
        <f t="shared" si="96"/>
        <v>62785.840089059995</v>
      </c>
      <c r="X87" s="5">
        <f t="shared" si="97"/>
        <v>5232.1533407549996</v>
      </c>
    </row>
    <row r="88" spans="1:24" s="62" customFormat="1" ht="15.75" thickBot="1" x14ac:dyDescent="0.3">
      <c r="A88" s="25" t="s">
        <v>303</v>
      </c>
      <c r="B88" s="9">
        <v>9</v>
      </c>
      <c r="C88" s="35">
        <v>61145</v>
      </c>
      <c r="D88" s="10">
        <f t="shared" si="77"/>
        <v>0</v>
      </c>
      <c r="E88" s="10">
        <f t="shared" si="78"/>
        <v>0</v>
      </c>
      <c r="F88" s="11">
        <f t="shared" si="79"/>
        <v>61145</v>
      </c>
      <c r="G88" s="35">
        <f t="shared" si="80"/>
        <v>62979.35</v>
      </c>
      <c r="H88" s="10">
        <f t="shared" si="81"/>
        <v>0</v>
      </c>
      <c r="I88" s="10">
        <f t="shared" si="82"/>
        <v>0</v>
      </c>
      <c r="J88" s="11">
        <f t="shared" si="83"/>
        <v>62979.35</v>
      </c>
      <c r="K88" s="35">
        <f t="shared" si="84"/>
        <v>64868.730499999998</v>
      </c>
      <c r="L88" s="10">
        <f t="shared" si="85"/>
        <v>0</v>
      </c>
      <c r="M88" s="10">
        <f t="shared" si="86"/>
        <v>0</v>
      </c>
      <c r="N88" s="11">
        <f t="shared" si="87"/>
        <v>64868.730499999998</v>
      </c>
      <c r="O88" s="35">
        <f t="shared" si="88"/>
        <v>66814.792415000004</v>
      </c>
      <c r="P88" s="10">
        <f t="shared" si="89"/>
        <v>0</v>
      </c>
      <c r="Q88" s="10">
        <f t="shared" si="90"/>
        <v>0</v>
      </c>
      <c r="R88" s="11">
        <f t="shared" si="91"/>
        <v>66814.792415000004</v>
      </c>
      <c r="S88" s="35">
        <f t="shared" si="92"/>
        <v>68819.236187450006</v>
      </c>
      <c r="T88" s="10">
        <f t="shared" si="93"/>
        <v>0</v>
      </c>
      <c r="U88" s="10">
        <f t="shared" si="94"/>
        <v>0</v>
      </c>
      <c r="V88" s="11">
        <f t="shared" si="95"/>
        <v>68819.236187450006</v>
      </c>
      <c r="W88" s="5">
        <f t="shared" si="96"/>
        <v>64925.421820490003</v>
      </c>
      <c r="X88" s="5">
        <f t="shared" si="97"/>
        <v>5410.4518183741666</v>
      </c>
    </row>
    <row r="89" spans="1:24" x14ac:dyDescent="0.25">
      <c r="A89" s="119" t="s">
        <v>266</v>
      </c>
      <c r="B89" s="2"/>
      <c r="C89" s="34">
        <v>0</v>
      </c>
      <c r="D89" s="7"/>
      <c r="E89" s="7"/>
      <c r="F89" s="8"/>
      <c r="G89" s="34"/>
      <c r="H89" s="7"/>
      <c r="I89" s="7"/>
      <c r="J89" s="8">
        <f>$J$88</f>
        <v>62979.35</v>
      </c>
      <c r="K89" s="34"/>
      <c r="L89" s="7"/>
      <c r="M89" s="7"/>
      <c r="N89" s="8">
        <f>$N$88</f>
        <v>64868.730499999998</v>
      </c>
      <c r="O89" s="34"/>
      <c r="P89" s="7"/>
      <c r="Q89" s="7"/>
      <c r="R89" s="8">
        <f>$R$88</f>
        <v>66814.792415000004</v>
      </c>
      <c r="S89" s="34"/>
      <c r="T89" s="7"/>
      <c r="U89" s="7"/>
      <c r="V89" s="8">
        <f>$V$88</f>
        <v>68819.236187450006</v>
      </c>
      <c r="W89" s="5"/>
      <c r="X89" s="5"/>
    </row>
    <row r="90" spans="1:24" x14ac:dyDescent="0.25">
      <c r="A90" s="119" t="s">
        <v>266</v>
      </c>
      <c r="B90" s="2"/>
      <c r="C90" s="34">
        <v>0</v>
      </c>
      <c r="D90" s="7"/>
      <c r="E90" s="7"/>
      <c r="F90" s="8"/>
      <c r="G90" s="34"/>
      <c r="H90" s="7"/>
      <c r="I90" s="7"/>
      <c r="J90" s="8">
        <f t="shared" ref="J90:J97" si="98">$J$88</f>
        <v>62979.35</v>
      </c>
      <c r="K90" s="34"/>
      <c r="L90" s="7"/>
      <c r="M90" s="7"/>
      <c r="N90" s="8">
        <f t="shared" ref="N90:N97" si="99">$N$88</f>
        <v>64868.730499999998</v>
      </c>
      <c r="O90" s="34"/>
      <c r="P90" s="7"/>
      <c r="Q90" s="7"/>
      <c r="R90" s="8">
        <f t="shared" ref="R90:R97" si="100">$R$88</f>
        <v>66814.792415000004</v>
      </c>
      <c r="S90" s="34"/>
      <c r="T90" s="7"/>
      <c r="U90" s="7"/>
      <c r="V90" s="8">
        <f t="shared" ref="V90:V97" si="101">$V$88</f>
        <v>68819.236187450006</v>
      </c>
      <c r="W90" s="5"/>
      <c r="X90" s="5"/>
    </row>
    <row r="91" spans="1:24" x14ac:dyDescent="0.25">
      <c r="A91" s="119" t="s">
        <v>266</v>
      </c>
      <c r="B91" s="2"/>
      <c r="C91" s="34">
        <v>0</v>
      </c>
      <c r="D91" s="7"/>
      <c r="E91" s="7"/>
      <c r="F91" s="8"/>
      <c r="G91" s="34"/>
      <c r="H91" s="7"/>
      <c r="I91" s="7"/>
      <c r="J91" s="8">
        <f t="shared" si="98"/>
        <v>62979.35</v>
      </c>
      <c r="K91" s="34"/>
      <c r="L91" s="7"/>
      <c r="M91" s="7"/>
      <c r="N91" s="8">
        <f t="shared" si="99"/>
        <v>64868.730499999998</v>
      </c>
      <c r="O91" s="34"/>
      <c r="P91" s="7"/>
      <c r="Q91" s="7"/>
      <c r="R91" s="8">
        <f t="shared" si="100"/>
        <v>66814.792415000004</v>
      </c>
      <c r="S91" s="34"/>
      <c r="T91" s="7"/>
      <c r="U91" s="7"/>
      <c r="V91" s="8">
        <f t="shared" si="101"/>
        <v>68819.236187450006</v>
      </c>
      <c r="W91" s="5"/>
      <c r="X91" s="5"/>
    </row>
    <row r="92" spans="1:24" x14ac:dyDescent="0.25">
      <c r="A92" s="119" t="s">
        <v>266</v>
      </c>
      <c r="B92" s="2"/>
      <c r="C92" s="34">
        <v>0</v>
      </c>
      <c r="D92" s="7"/>
      <c r="E92" s="7"/>
      <c r="F92" s="8"/>
      <c r="G92" s="34"/>
      <c r="H92" s="7"/>
      <c r="I92" s="7"/>
      <c r="J92" s="8">
        <f t="shared" si="98"/>
        <v>62979.35</v>
      </c>
      <c r="K92" s="34"/>
      <c r="L92" s="7"/>
      <c r="M92" s="7"/>
      <c r="N92" s="8">
        <f t="shared" si="99"/>
        <v>64868.730499999998</v>
      </c>
      <c r="O92" s="34"/>
      <c r="P92" s="7"/>
      <c r="Q92" s="7"/>
      <c r="R92" s="8">
        <f t="shared" si="100"/>
        <v>66814.792415000004</v>
      </c>
      <c r="S92" s="34"/>
      <c r="T92" s="7"/>
      <c r="U92" s="7"/>
      <c r="V92" s="8">
        <f t="shared" si="101"/>
        <v>68819.236187450006</v>
      </c>
      <c r="W92" s="5"/>
      <c r="X92" s="5"/>
    </row>
    <row r="93" spans="1:24" x14ac:dyDescent="0.25">
      <c r="A93" s="119" t="s">
        <v>266</v>
      </c>
      <c r="B93" s="2"/>
      <c r="C93" s="34">
        <v>0</v>
      </c>
      <c r="D93" s="7"/>
      <c r="E93" s="7"/>
      <c r="F93" s="8"/>
      <c r="G93" s="34"/>
      <c r="H93" s="7"/>
      <c r="I93" s="7"/>
      <c r="J93" s="8">
        <f t="shared" si="98"/>
        <v>62979.35</v>
      </c>
      <c r="K93" s="34"/>
      <c r="L93" s="7"/>
      <c r="M93" s="7"/>
      <c r="N93" s="8">
        <f t="shared" si="99"/>
        <v>64868.730499999998</v>
      </c>
      <c r="O93" s="34"/>
      <c r="P93" s="7"/>
      <c r="Q93" s="7"/>
      <c r="R93" s="8">
        <f t="shared" si="100"/>
        <v>66814.792415000004</v>
      </c>
      <c r="S93" s="34"/>
      <c r="T93" s="7"/>
      <c r="U93" s="7"/>
      <c r="V93" s="8">
        <f t="shared" si="101"/>
        <v>68819.236187450006</v>
      </c>
      <c r="W93" s="5"/>
      <c r="X93" s="5"/>
    </row>
    <row r="94" spans="1:24" x14ac:dyDescent="0.25">
      <c r="A94" s="119" t="s">
        <v>266</v>
      </c>
      <c r="B94" s="2"/>
      <c r="C94" s="34">
        <v>0</v>
      </c>
      <c r="D94" s="7"/>
      <c r="E94" s="7"/>
      <c r="F94" s="8"/>
      <c r="G94" s="34"/>
      <c r="H94" s="7"/>
      <c r="I94" s="7"/>
      <c r="J94" s="8">
        <f t="shared" si="98"/>
        <v>62979.35</v>
      </c>
      <c r="K94" s="34"/>
      <c r="L94" s="7"/>
      <c r="M94" s="7"/>
      <c r="N94" s="8">
        <f t="shared" si="99"/>
        <v>64868.730499999998</v>
      </c>
      <c r="O94" s="34"/>
      <c r="P94" s="7"/>
      <c r="Q94" s="7"/>
      <c r="R94" s="8">
        <f t="shared" si="100"/>
        <v>66814.792415000004</v>
      </c>
      <c r="S94" s="34"/>
      <c r="T94" s="7"/>
      <c r="U94" s="7"/>
      <c r="V94" s="8">
        <f t="shared" si="101"/>
        <v>68819.236187450006</v>
      </c>
      <c r="W94" s="5"/>
      <c r="X94" s="5"/>
    </row>
    <row r="95" spans="1:24" x14ac:dyDescent="0.25">
      <c r="A95" s="119" t="s">
        <v>266</v>
      </c>
      <c r="B95" s="2"/>
      <c r="C95" s="34">
        <v>0</v>
      </c>
      <c r="D95" s="7"/>
      <c r="E95" s="7"/>
      <c r="F95" s="8"/>
      <c r="G95" s="34"/>
      <c r="H95" s="7"/>
      <c r="I95" s="7"/>
      <c r="J95" s="8">
        <f t="shared" si="98"/>
        <v>62979.35</v>
      </c>
      <c r="K95" s="34"/>
      <c r="L95" s="7"/>
      <c r="M95" s="7"/>
      <c r="N95" s="8">
        <f t="shared" si="99"/>
        <v>64868.730499999998</v>
      </c>
      <c r="O95" s="34"/>
      <c r="P95" s="7"/>
      <c r="Q95" s="7"/>
      <c r="R95" s="8">
        <f t="shared" si="100"/>
        <v>66814.792415000004</v>
      </c>
      <c r="S95" s="34"/>
      <c r="T95" s="7"/>
      <c r="U95" s="7"/>
      <c r="V95" s="8">
        <f t="shared" si="101"/>
        <v>68819.236187450006</v>
      </c>
      <c r="W95" s="5"/>
      <c r="X95" s="5"/>
    </row>
    <row r="96" spans="1:24" x14ac:dyDescent="0.25">
      <c r="A96" s="119" t="s">
        <v>266</v>
      </c>
      <c r="B96" s="2"/>
      <c r="C96" s="34">
        <v>0</v>
      </c>
      <c r="D96" s="7"/>
      <c r="E96" s="7"/>
      <c r="F96" s="8"/>
      <c r="G96" s="34"/>
      <c r="H96" s="7"/>
      <c r="I96" s="7"/>
      <c r="J96" s="8">
        <f t="shared" si="98"/>
        <v>62979.35</v>
      </c>
      <c r="K96" s="34"/>
      <c r="L96" s="7"/>
      <c r="M96" s="7"/>
      <c r="N96" s="8">
        <f t="shared" si="99"/>
        <v>64868.730499999998</v>
      </c>
      <c r="O96" s="34"/>
      <c r="P96" s="7"/>
      <c r="Q96" s="7"/>
      <c r="R96" s="8">
        <f t="shared" si="100"/>
        <v>66814.792415000004</v>
      </c>
      <c r="S96" s="34"/>
      <c r="T96" s="7"/>
      <c r="U96" s="7"/>
      <c r="V96" s="8">
        <f t="shared" si="101"/>
        <v>68819.236187450006</v>
      </c>
      <c r="W96" s="5"/>
      <c r="X96" s="5"/>
    </row>
    <row r="97" spans="1:24" ht="15.75" thickBot="1" x14ac:dyDescent="0.3">
      <c r="A97" s="119" t="s">
        <v>266</v>
      </c>
      <c r="B97" s="2"/>
      <c r="C97" s="34">
        <v>0</v>
      </c>
      <c r="D97" s="7"/>
      <c r="E97" s="7"/>
      <c r="F97" s="8"/>
      <c r="G97" s="34"/>
      <c r="H97" s="7"/>
      <c r="I97" s="7"/>
      <c r="J97" s="8">
        <f t="shared" si="98"/>
        <v>62979.35</v>
      </c>
      <c r="K97" s="34"/>
      <c r="L97" s="7"/>
      <c r="M97" s="7"/>
      <c r="N97" s="8">
        <f t="shared" si="99"/>
        <v>64868.730499999998</v>
      </c>
      <c r="O97" s="34"/>
      <c r="P97" s="7"/>
      <c r="Q97" s="7"/>
      <c r="R97" s="8">
        <f t="shared" si="100"/>
        <v>66814.792415000004</v>
      </c>
      <c r="S97" s="34"/>
      <c r="T97" s="7"/>
      <c r="U97" s="7"/>
      <c r="V97" s="8">
        <f t="shared" si="101"/>
        <v>68819.236187450006</v>
      </c>
      <c r="W97" s="5"/>
      <c r="X97" s="5"/>
    </row>
    <row r="98" spans="1:24" x14ac:dyDescent="0.25">
      <c r="A98" s="26" t="s">
        <v>302</v>
      </c>
      <c r="B98" s="27">
        <v>1</v>
      </c>
      <c r="C98" s="37">
        <v>28893</v>
      </c>
      <c r="D98" s="28">
        <f t="shared" ref="D98:D108" si="102">C98*$F$2</f>
        <v>0</v>
      </c>
      <c r="E98" s="28">
        <f t="shared" ref="E98:E108" si="103">C98*$F$3</f>
        <v>0</v>
      </c>
      <c r="F98" s="29">
        <f t="shared" ref="F98:F108" si="104">SUM(C98:E98)</f>
        <v>28893</v>
      </c>
      <c r="G98" s="37">
        <f t="shared" ref="G98:G108" si="105">C98*$F$4</f>
        <v>29759.79</v>
      </c>
      <c r="H98" s="28">
        <f t="shared" ref="H98:H108" si="106">G98*$F$2</f>
        <v>0</v>
      </c>
      <c r="I98" s="28">
        <f t="shared" ref="I98:I108" si="107">G98*$F$3</f>
        <v>0</v>
      </c>
      <c r="J98" s="29">
        <f t="shared" ref="J98:J108" si="108">SUM(G98:I98)</f>
        <v>29759.79</v>
      </c>
      <c r="K98" s="37">
        <f t="shared" ref="K98:K108" si="109">G98*$F$4</f>
        <v>30652.583700000003</v>
      </c>
      <c r="L98" s="28">
        <f t="shared" ref="L98:L108" si="110">K98*$F$2</f>
        <v>0</v>
      </c>
      <c r="M98" s="28">
        <f t="shared" ref="M98:M108" si="111">K98*$F$3</f>
        <v>0</v>
      </c>
      <c r="N98" s="29">
        <f t="shared" ref="N98:N108" si="112">SUM(K98:M98)</f>
        <v>30652.583700000003</v>
      </c>
      <c r="O98" s="37">
        <f t="shared" ref="O98:O108" si="113">K98*$F$4</f>
        <v>31572.161211000002</v>
      </c>
      <c r="P98" s="28">
        <f t="shared" ref="P98:P108" si="114">O98*$F$2</f>
        <v>0</v>
      </c>
      <c r="Q98" s="28">
        <f t="shared" ref="Q98:Q108" si="115">O98*$F$3</f>
        <v>0</v>
      </c>
      <c r="R98" s="29">
        <f t="shared" ref="R98:R108" si="116">SUM(O98:Q98)</f>
        <v>31572.161211000002</v>
      </c>
      <c r="S98" s="37">
        <f t="shared" ref="S98:S108" si="117">O98*$F$4</f>
        <v>32519.326047330003</v>
      </c>
      <c r="T98" s="28">
        <f t="shared" ref="T98:T108" si="118">S98*$F$2</f>
        <v>0</v>
      </c>
      <c r="U98" s="28">
        <f t="shared" ref="U98:U108" si="119">S98*$F$3</f>
        <v>0</v>
      </c>
      <c r="V98" s="29">
        <f t="shared" ref="V98:V108" si="120">SUM(S98:U98)</f>
        <v>32519.326047330003</v>
      </c>
      <c r="W98" s="5">
        <f t="shared" ref="W98:W108" si="121">AVERAGE(F98,J98,N98,R98,V98)</f>
        <v>30679.372191665996</v>
      </c>
      <c r="X98" s="5">
        <f t="shared" ref="X98:X108" si="122">SUM(F98,J98,N98,R98,V98)/$X$1</f>
        <v>2556.6143493054997</v>
      </c>
    </row>
    <row r="99" spans="1:24" x14ac:dyDescent="0.25">
      <c r="A99" s="24" t="s">
        <v>301</v>
      </c>
      <c r="B99" s="2">
        <v>2</v>
      </c>
      <c r="C99" s="34">
        <v>29967</v>
      </c>
      <c r="D99" s="7">
        <f t="shared" si="102"/>
        <v>0</v>
      </c>
      <c r="E99" s="7">
        <f t="shared" si="103"/>
        <v>0</v>
      </c>
      <c r="F99" s="8">
        <f t="shared" si="104"/>
        <v>29967</v>
      </c>
      <c r="G99" s="34">
        <f t="shared" si="105"/>
        <v>30866.010000000002</v>
      </c>
      <c r="H99" s="7">
        <f t="shared" si="106"/>
        <v>0</v>
      </c>
      <c r="I99" s="7">
        <f t="shared" si="107"/>
        <v>0</v>
      </c>
      <c r="J99" s="8">
        <f t="shared" si="108"/>
        <v>30866.010000000002</v>
      </c>
      <c r="K99" s="34">
        <f t="shared" si="109"/>
        <v>31791.990300000001</v>
      </c>
      <c r="L99" s="7">
        <f t="shared" si="110"/>
        <v>0</v>
      </c>
      <c r="M99" s="7">
        <f t="shared" si="111"/>
        <v>0</v>
      </c>
      <c r="N99" s="8">
        <f t="shared" si="112"/>
        <v>31791.990300000001</v>
      </c>
      <c r="O99" s="34">
        <f t="shared" si="113"/>
        <v>32745.750009000003</v>
      </c>
      <c r="P99" s="7">
        <f t="shared" si="114"/>
        <v>0</v>
      </c>
      <c r="Q99" s="7">
        <f t="shared" si="115"/>
        <v>0</v>
      </c>
      <c r="R99" s="8">
        <f t="shared" si="116"/>
        <v>32745.750009000003</v>
      </c>
      <c r="S99" s="34">
        <f t="shared" si="117"/>
        <v>33728.122509270004</v>
      </c>
      <c r="T99" s="7">
        <f t="shared" si="118"/>
        <v>0</v>
      </c>
      <c r="U99" s="7">
        <f t="shared" si="119"/>
        <v>0</v>
      </c>
      <c r="V99" s="8">
        <f t="shared" si="120"/>
        <v>33728.122509270004</v>
      </c>
      <c r="W99" s="5">
        <f t="shared" si="121"/>
        <v>31819.774563653998</v>
      </c>
      <c r="X99" s="5">
        <f t="shared" si="122"/>
        <v>2651.6478803045002</v>
      </c>
    </row>
    <row r="100" spans="1:24" x14ac:dyDescent="0.25">
      <c r="A100" s="24" t="s">
        <v>300</v>
      </c>
      <c r="B100" s="2">
        <v>3</v>
      </c>
      <c r="C100" s="34">
        <v>31467</v>
      </c>
      <c r="D100" s="7">
        <f t="shared" si="102"/>
        <v>0</v>
      </c>
      <c r="E100" s="7">
        <f t="shared" si="103"/>
        <v>0</v>
      </c>
      <c r="F100" s="8">
        <f t="shared" si="104"/>
        <v>31467</v>
      </c>
      <c r="G100" s="34">
        <f t="shared" si="105"/>
        <v>32411.010000000002</v>
      </c>
      <c r="H100" s="7">
        <f t="shared" si="106"/>
        <v>0</v>
      </c>
      <c r="I100" s="7">
        <f t="shared" si="107"/>
        <v>0</v>
      </c>
      <c r="J100" s="8">
        <f t="shared" si="108"/>
        <v>32411.010000000002</v>
      </c>
      <c r="K100" s="34">
        <f t="shared" si="109"/>
        <v>33383.340300000003</v>
      </c>
      <c r="L100" s="7">
        <f t="shared" si="110"/>
        <v>0</v>
      </c>
      <c r="M100" s="7">
        <f t="shared" si="111"/>
        <v>0</v>
      </c>
      <c r="N100" s="8">
        <f t="shared" si="112"/>
        <v>33383.340300000003</v>
      </c>
      <c r="O100" s="34">
        <f t="shared" si="113"/>
        <v>34384.840509000001</v>
      </c>
      <c r="P100" s="7">
        <f t="shared" si="114"/>
        <v>0</v>
      </c>
      <c r="Q100" s="7">
        <f t="shared" si="115"/>
        <v>0</v>
      </c>
      <c r="R100" s="8">
        <f t="shared" si="116"/>
        <v>34384.840509000001</v>
      </c>
      <c r="S100" s="34">
        <f t="shared" si="117"/>
        <v>35416.385724270003</v>
      </c>
      <c r="T100" s="7">
        <f t="shared" si="118"/>
        <v>0</v>
      </c>
      <c r="U100" s="7">
        <f t="shared" si="119"/>
        <v>0</v>
      </c>
      <c r="V100" s="8">
        <f t="shared" si="120"/>
        <v>35416.385724270003</v>
      </c>
      <c r="W100" s="5">
        <f t="shared" si="121"/>
        <v>33412.515306654001</v>
      </c>
      <c r="X100" s="5">
        <f t="shared" si="122"/>
        <v>2784.3762755545004</v>
      </c>
    </row>
    <row r="101" spans="1:24" x14ac:dyDescent="0.25">
      <c r="A101" s="24" t="s">
        <v>299</v>
      </c>
      <c r="B101" s="2">
        <v>4</v>
      </c>
      <c r="C101" s="34">
        <v>33005</v>
      </c>
      <c r="D101" s="7">
        <f t="shared" si="102"/>
        <v>0</v>
      </c>
      <c r="E101" s="7">
        <f t="shared" si="103"/>
        <v>0</v>
      </c>
      <c r="F101" s="8">
        <f t="shared" si="104"/>
        <v>33005</v>
      </c>
      <c r="G101" s="34">
        <f t="shared" si="105"/>
        <v>33995.15</v>
      </c>
      <c r="H101" s="7">
        <f t="shared" si="106"/>
        <v>0</v>
      </c>
      <c r="I101" s="7">
        <f t="shared" si="107"/>
        <v>0</v>
      </c>
      <c r="J101" s="8">
        <f t="shared" si="108"/>
        <v>33995.15</v>
      </c>
      <c r="K101" s="34">
        <f t="shared" si="109"/>
        <v>35015.004500000003</v>
      </c>
      <c r="L101" s="7">
        <f t="shared" si="110"/>
        <v>0</v>
      </c>
      <c r="M101" s="7">
        <f t="shared" si="111"/>
        <v>0</v>
      </c>
      <c r="N101" s="8">
        <f t="shared" si="112"/>
        <v>35015.004500000003</v>
      </c>
      <c r="O101" s="34">
        <f t="shared" si="113"/>
        <v>36065.454635000002</v>
      </c>
      <c r="P101" s="7">
        <f t="shared" si="114"/>
        <v>0</v>
      </c>
      <c r="Q101" s="7">
        <f t="shared" si="115"/>
        <v>0</v>
      </c>
      <c r="R101" s="8">
        <f t="shared" si="116"/>
        <v>36065.454635000002</v>
      </c>
      <c r="S101" s="34">
        <f t="shared" si="117"/>
        <v>37147.418274050004</v>
      </c>
      <c r="T101" s="7">
        <f t="shared" si="118"/>
        <v>0</v>
      </c>
      <c r="U101" s="7">
        <f t="shared" si="119"/>
        <v>0</v>
      </c>
      <c r="V101" s="8">
        <f t="shared" si="120"/>
        <v>37147.418274050004</v>
      </c>
      <c r="W101" s="5">
        <f t="shared" si="121"/>
        <v>35045.605481810002</v>
      </c>
      <c r="X101" s="5">
        <f t="shared" si="122"/>
        <v>2920.4671234841667</v>
      </c>
    </row>
    <row r="102" spans="1:24" x14ac:dyDescent="0.25">
      <c r="A102" s="24" t="s">
        <v>298</v>
      </c>
      <c r="B102" s="2">
        <v>5</v>
      </c>
      <c r="C102" s="34">
        <v>34193</v>
      </c>
      <c r="D102" s="7">
        <f t="shared" si="102"/>
        <v>0</v>
      </c>
      <c r="E102" s="7">
        <f t="shared" si="103"/>
        <v>0</v>
      </c>
      <c r="F102" s="8">
        <f t="shared" si="104"/>
        <v>34193</v>
      </c>
      <c r="G102" s="34">
        <f t="shared" si="105"/>
        <v>35218.79</v>
      </c>
      <c r="H102" s="7">
        <f t="shared" si="106"/>
        <v>0</v>
      </c>
      <c r="I102" s="7">
        <f t="shared" si="107"/>
        <v>0</v>
      </c>
      <c r="J102" s="8">
        <f t="shared" si="108"/>
        <v>35218.79</v>
      </c>
      <c r="K102" s="34">
        <f t="shared" si="109"/>
        <v>36275.3537</v>
      </c>
      <c r="L102" s="7">
        <f t="shared" si="110"/>
        <v>0</v>
      </c>
      <c r="M102" s="7">
        <f t="shared" si="111"/>
        <v>0</v>
      </c>
      <c r="N102" s="8">
        <f t="shared" si="112"/>
        <v>36275.3537</v>
      </c>
      <c r="O102" s="34">
        <f t="shared" si="113"/>
        <v>37363.614310999998</v>
      </c>
      <c r="P102" s="7">
        <f t="shared" si="114"/>
        <v>0</v>
      </c>
      <c r="Q102" s="7">
        <f t="shared" si="115"/>
        <v>0</v>
      </c>
      <c r="R102" s="8">
        <f t="shared" si="116"/>
        <v>37363.614310999998</v>
      </c>
      <c r="S102" s="34">
        <f t="shared" si="117"/>
        <v>38484.522740330001</v>
      </c>
      <c r="T102" s="7">
        <f t="shared" si="118"/>
        <v>0</v>
      </c>
      <c r="U102" s="7">
        <f t="shared" si="119"/>
        <v>0</v>
      </c>
      <c r="V102" s="8">
        <f t="shared" si="120"/>
        <v>38484.522740330001</v>
      </c>
      <c r="W102" s="5">
        <f t="shared" si="121"/>
        <v>36307.056150265998</v>
      </c>
      <c r="X102" s="5">
        <f t="shared" si="122"/>
        <v>3025.5880125221665</v>
      </c>
    </row>
    <row r="103" spans="1:24" x14ac:dyDescent="0.25">
      <c r="A103" s="24" t="s">
        <v>297</v>
      </c>
      <c r="B103" s="2">
        <v>6</v>
      </c>
      <c r="C103" s="34">
        <v>33368</v>
      </c>
      <c r="D103" s="7">
        <f t="shared" si="102"/>
        <v>0</v>
      </c>
      <c r="E103" s="7">
        <f t="shared" si="103"/>
        <v>0</v>
      </c>
      <c r="F103" s="8">
        <f t="shared" si="104"/>
        <v>33368</v>
      </c>
      <c r="G103" s="34">
        <f t="shared" si="105"/>
        <v>34369.040000000001</v>
      </c>
      <c r="H103" s="7">
        <f t="shared" si="106"/>
        <v>0</v>
      </c>
      <c r="I103" s="7">
        <f t="shared" si="107"/>
        <v>0</v>
      </c>
      <c r="J103" s="8">
        <f t="shared" si="108"/>
        <v>34369.040000000001</v>
      </c>
      <c r="K103" s="34">
        <f t="shared" si="109"/>
        <v>35400.111199999999</v>
      </c>
      <c r="L103" s="7">
        <f t="shared" si="110"/>
        <v>0</v>
      </c>
      <c r="M103" s="7">
        <f t="shared" si="111"/>
        <v>0</v>
      </c>
      <c r="N103" s="8">
        <f t="shared" si="112"/>
        <v>35400.111199999999</v>
      </c>
      <c r="O103" s="34">
        <f t="shared" si="113"/>
        <v>36462.114536000001</v>
      </c>
      <c r="P103" s="7">
        <f t="shared" si="114"/>
        <v>0</v>
      </c>
      <c r="Q103" s="7">
        <f t="shared" si="115"/>
        <v>0</v>
      </c>
      <c r="R103" s="8">
        <f t="shared" si="116"/>
        <v>36462.114536000001</v>
      </c>
      <c r="S103" s="34">
        <f t="shared" si="117"/>
        <v>37555.97797208</v>
      </c>
      <c r="T103" s="7">
        <f t="shared" si="118"/>
        <v>0</v>
      </c>
      <c r="U103" s="7">
        <f t="shared" si="119"/>
        <v>0</v>
      </c>
      <c r="V103" s="8">
        <f t="shared" si="120"/>
        <v>37555.97797208</v>
      </c>
      <c r="W103" s="5">
        <f t="shared" si="121"/>
        <v>35431.048741616003</v>
      </c>
      <c r="X103" s="5">
        <f t="shared" si="122"/>
        <v>2952.5873951346666</v>
      </c>
    </row>
    <row r="104" spans="1:24" x14ac:dyDescent="0.25">
      <c r="A104" s="24" t="s">
        <v>296</v>
      </c>
      <c r="B104" s="2">
        <v>7</v>
      </c>
      <c r="C104" s="34">
        <v>36374</v>
      </c>
      <c r="D104" s="7">
        <f t="shared" si="102"/>
        <v>0</v>
      </c>
      <c r="E104" s="7">
        <f t="shared" si="103"/>
        <v>0</v>
      </c>
      <c r="F104" s="8">
        <f t="shared" si="104"/>
        <v>36374</v>
      </c>
      <c r="G104" s="34">
        <f t="shared" si="105"/>
        <v>37465.22</v>
      </c>
      <c r="H104" s="7">
        <f t="shared" si="106"/>
        <v>0</v>
      </c>
      <c r="I104" s="7">
        <f t="shared" si="107"/>
        <v>0</v>
      </c>
      <c r="J104" s="8">
        <f t="shared" si="108"/>
        <v>37465.22</v>
      </c>
      <c r="K104" s="34">
        <f t="shared" si="109"/>
        <v>38589.176599999999</v>
      </c>
      <c r="L104" s="7">
        <f t="shared" si="110"/>
        <v>0</v>
      </c>
      <c r="M104" s="7">
        <f t="shared" si="111"/>
        <v>0</v>
      </c>
      <c r="N104" s="8">
        <f t="shared" si="112"/>
        <v>38589.176599999999</v>
      </c>
      <c r="O104" s="34">
        <f t="shared" si="113"/>
        <v>39746.851898000001</v>
      </c>
      <c r="P104" s="7">
        <f t="shared" si="114"/>
        <v>0</v>
      </c>
      <c r="Q104" s="7">
        <f t="shared" si="115"/>
        <v>0</v>
      </c>
      <c r="R104" s="8">
        <f t="shared" si="116"/>
        <v>39746.851898000001</v>
      </c>
      <c r="S104" s="34">
        <f t="shared" si="117"/>
        <v>40939.257454940001</v>
      </c>
      <c r="T104" s="7">
        <f t="shared" si="118"/>
        <v>0</v>
      </c>
      <c r="U104" s="7">
        <f t="shared" si="119"/>
        <v>0</v>
      </c>
      <c r="V104" s="8">
        <f t="shared" si="120"/>
        <v>40939.257454940001</v>
      </c>
      <c r="W104" s="5">
        <f t="shared" si="121"/>
        <v>38622.901190588003</v>
      </c>
      <c r="X104" s="5">
        <f t="shared" si="122"/>
        <v>3218.5750992156668</v>
      </c>
    </row>
    <row r="105" spans="1:24" x14ac:dyDescent="0.25">
      <c r="A105" s="24" t="s">
        <v>295</v>
      </c>
      <c r="B105" s="2">
        <v>8</v>
      </c>
      <c r="C105" s="34">
        <v>37719</v>
      </c>
      <c r="D105" s="7">
        <f t="shared" si="102"/>
        <v>0</v>
      </c>
      <c r="E105" s="7">
        <f t="shared" si="103"/>
        <v>0</v>
      </c>
      <c r="F105" s="8">
        <f t="shared" si="104"/>
        <v>37719</v>
      </c>
      <c r="G105" s="34">
        <f t="shared" si="105"/>
        <v>38850.57</v>
      </c>
      <c r="H105" s="7">
        <f t="shared" si="106"/>
        <v>0</v>
      </c>
      <c r="I105" s="7">
        <f t="shared" si="107"/>
        <v>0</v>
      </c>
      <c r="J105" s="8">
        <f t="shared" si="108"/>
        <v>38850.57</v>
      </c>
      <c r="K105" s="34">
        <f t="shared" si="109"/>
        <v>40016.087100000004</v>
      </c>
      <c r="L105" s="7">
        <f t="shared" si="110"/>
        <v>0</v>
      </c>
      <c r="M105" s="7">
        <f t="shared" si="111"/>
        <v>0</v>
      </c>
      <c r="N105" s="8">
        <f t="shared" si="112"/>
        <v>40016.087100000004</v>
      </c>
      <c r="O105" s="34">
        <f t="shared" si="113"/>
        <v>41216.569713000004</v>
      </c>
      <c r="P105" s="7">
        <f t="shared" si="114"/>
        <v>0</v>
      </c>
      <c r="Q105" s="7">
        <f t="shared" si="115"/>
        <v>0</v>
      </c>
      <c r="R105" s="8">
        <f t="shared" si="116"/>
        <v>41216.569713000004</v>
      </c>
      <c r="S105" s="34">
        <f t="shared" si="117"/>
        <v>42453.066804390008</v>
      </c>
      <c r="T105" s="7">
        <f t="shared" si="118"/>
        <v>0</v>
      </c>
      <c r="U105" s="7">
        <f t="shared" si="119"/>
        <v>0</v>
      </c>
      <c r="V105" s="8">
        <f t="shared" si="120"/>
        <v>42453.066804390008</v>
      </c>
      <c r="W105" s="5">
        <f t="shared" si="121"/>
        <v>40051.058723478011</v>
      </c>
      <c r="X105" s="5">
        <f t="shared" si="122"/>
        <v>3337.5882269565004</v>
      </c>
    </row>
    <row r="106" spans="1:24" x14ac:dyDescent="0.25">
      <c r="A106" s="127" t="s">
        <v>294</v>
      </c>
      <c r="B106" s="2">
        <v>9</v>
      </c>
      <c r="C106" s="7">
        <v>39022</v>
      </c>
      <c r="D106" s="7">
        <f t="shared" si="102"/>
        <v>0</v>
      </c>
      <c r="E106" s="7">
        <f t="shared" si="103"/>
        <v>0</v>
      </c>
      <c r="F106" s="7">
        <f t="shared" si="104"/>
        <v>39022</v>
      </c>
      <c r="G106" s="7">
        <f t="shared" si="105"/>
        <v>40192.660000000003</v>
      </c>
      <c r="H106" s="7">
        <f t="shared" si="106"/>
        <v>0</v>
      </c>
      <c r="I106" s="7">
        <f t="shared" si="107"/>
        <v>0</v>
      </c>
      <c r="J106" s="7">
        <f t="shared" si="108"/>
        <v>40192.660000000003</v>
      </c>
      <c r="K106" s="7">
        <f t="shared" si="109"/>
        <v>41398.439800000007</v>
      </c>
      <c r="L106" s="7">
        <f t="shared" si="110"/>
        <v>0</v>
      </c>
      <c r="M106" s="7">
        <f t="shared" si="111"/>
        <v>0</v>
      </c>
      <c r="N106" s="7">
        <f t="shared" si="112"/>
        <v>41398.439800000007</v>
      </c>
      <c r="O106" s="7">
        <f t="shared" si="113"/>
        <v>42640.392994000009</v>
      </c>
      <c r="P106" s="7">
        <f t="shared" si="114"/>
        <v>0</v>
      </c>
      <c r="Q106" s="7">
        <f t="shared" si="115"/>
        <v>0</v>
      </c>
      <c r="R106" s="7">
        <f t="shared" si="116"/>
        <v>42640.392994000009</v>
      </c>
      <c r="S106" s="7">
        <f t="shared" si="117"/>
        <v>43919.60478382001</v>
      </c>
      <c r="T106" s="7">
        <f t="shared" si="118"/>
        <v>0</v>
      </c>
      <c r="U106" s="7">
        <f t="shared" si="119"/>
        <v>0</v>
      </c>
      <c r="V106" s="7">
        <f t="shared" si="120"/>
        <v>43919.60478382001</v>
      </c>
      <c r="W106" s="5">
        <f t="shared" si="121"/>
        <v>41434.619515564009</v>
      </c>
      <c r="X106" s="5">
        <f t="shared" si="122"/>
        <v>3452.8849596303339</v>
      </c>
    </row>
    <row r="107" spans="1:24" x14ac:dyDescent="0.25">
      <c r="A107" s="127" t="s">
        <v>293</v>
      </c>
      <c r="B107" s="2">
        <v>10</v>
      </c>
      <c r="C107" s="7">
        <v>40123</v>
      </c>
      <c r="D107" s="7">
        <f t="shared" si="102"/>
        <v>0</v>
      </c>
      <c r="E107" s="7">
        <f t="shared" si="103"/>
        <v>0</v>
      </c>
      <c r="F107" s="7">
        <f t="shared" si="104"/>
        <v>40123</v>
      </c>
      <c r="G107" s="7">
        <f t="shared" si="105"/>
        <v>41326.69</v>
      </c>
      <c r="H107" s="7">
        <f t="shared" si="106"/>
        <v>0</v>
      </c>
      <c r="I107" s="7">
        <f t="shared" si="107"/>
        <v>0</v>
      </c>
      <c r="J107" s="7">
        <f t="shared" si="108"/>
        <v>41326.69</v>
      </c>
      <c r="K107" s="7">
        <f t="shared" si="109"/>
        <v>42566.490700000002</v>
      </c>
      <c r="L107" s="7">
        <f t="shared" si="110"/>
        <v>0</v>
      </c>
      <c r="M107" s="7">
        <f t="shared" si="111"/>
        <v>0</v>
      </c>
      <c r="N107" s="7">
        <f t="shared" si="112"/>
        <v>42566.490700000002</v>
      </c>
      <c r="O107" s="7">
        <f t="shared" si="113"/>
        <v>43843.485421000005</v>
      </c>
      <c r="P107" s="7">
        <f t="shared" si="114"/>
        <v>0</v>
      </c>
      <c r="Q107" s="7">
        <f t="shared" si="115"/>
        <v>0</v>
      </c>
      <c r="R107" s="7">
        <f t="shared" si="116"/>
        <v>43843.485421000005</v>
      </c>
      <c r="S107" s="7">
        <f t="shared" si="117"/>
        <v>45158.789983630006</v>
      </c>
      <c r="T107" s="7">
        <f t="shared" si="118"/>
        <v>0</v>
      </c>
      <c r="U107" s="7">
        <f t="shared" si="119"/>
        <v>0</v>
      </c>
      <c r="V107" s="7">
        <f t="shared" si="120"/>
        <v>45158.789983630006</v>
      </c>
      <c r="W107" s="5">
        <f t="shared" si="121"/>
        <v>42603.691220926004</v>
      </c>
      <c r="X107" s="5">
        <f t="shared" si="122"/>
        <v>3550.3076017438339</v>
      </c>
    </row>
    <row r="108" spans="1:24" s="62" customFormat="1" ht="15.75" thickBot="1" x14ac:dyDescent="0.3">
      <c r="A108" s="25" t="s">
        <v>292</v>
      </c>
      <c r="B108" s="9">
        <v>11</v>
      </c>
      <c r="C108" s="35">
        <v>41233</v>
      </c>
      <c r="D108" s="10">
        <f t="shared" si="102"/>
        <v>0</v>
      </c>
      <c r="E108" s="10">
        <f t="shared" si="103"/>
        <v>0</v>
      </c>
      <c r="F108" s="11">
        <f t="shared" si="104"/>
        <v>41233</v>
      </c>
      <c r="G108" s="35">
        <f t="shared" si="105"/>
        <v>42469.99</v>
      </c>
      <c r="H108" s="10">
        <f t="shared" si="106"/>
        <v>0</v>
      </c>
      <c r="I108" s="10">
        <f t="shared" si="107"/>
        <v>0</v>
      </c>
      <c r="J108" s="11">
        <f t="shared" si="108"/>
        <v>42469.99</v>
      </c>
      <c r="K108" s="35">
        <f t="shared" si="109"/>
        <v>43744.089699999997</v>
      </c>
      <c r="L108" s="10">
        <f t="shared" si="110"/>
        <v>0</v>
      </c>
      <c r="M108" s="10">
        <f t="shared" si="111"/>
        <v>0</v>
      </c>
      <c r="N108" s="11">
        <f t="shared" si="112"/>
        <v>43744.089699999997</v>
      </c>
      <c r="O108" s="35">
        <f t="shared" si="113"/>
        <v>45056.412390999998</v>
      </c>
      <c r="P108" s="10">
        <f t="shared" si="114"/>
        <v>0</v>
      </c>
      <c r="Q108" s="10">
        <f t="shared" si="115"/>
        <v>0</v>
      </c>
      <c r="R108" s="11">
        <f t="shared" si="116"/>
        <v>45056.412390999998</v>
      </c>
      <c r="S108" s="35">
        <f t="shared" si="117"/>
        <v>46408.104762729999</v>
      </c>
      <c r="T108" s="10">
        <f t="shared" si="118"/>
        <v>0</v>
      </c>
      <c r="U108" s="10">
        <f t="shared" si="119"/>
        <v>0</v>
      </c>
      <c r="V108" s="11">
        <f t="shared" si="120"/>
        <v>46408.104762729999</v>
      </c>
      <c r="W108" s="170">
        <f t="shared" si="121"/>
        <v>43782.319370745994</v>
      </c>
      <c r="X108" s="170">
        <f t="shared" si="122"/>
        <v>3648.5266142288328</v>
      </c>
    </row>
    <row r="109" spans="1:24" x14ac:dyDescent="0.25">
      <c r="A109" s="119" t="s">
        <v>266</v>
      </c>
      <c r="B109" s="2"/>
      <c r="C109" s="34">
        <v>0</v>
      </c>
      <c r="D109" s="7"/>
      <c r="E109" s="7"/>
      <c r="F109" s="8"/>
      <c r="G109" s="34"/>
      <c r="H109" s="7"/>
      <c r="I109" s="7"/>
      <c r="J109" s="8">
        <f>$J$108</f>
        <v>42469.99</v>
      </c>
      <c r="K109" s="34"/>
      <c r="L109" s="7"/>
      <c r="M109" s="7"/>
      <c r="N109" s="8">
        <f>$N$108</f>
        <v>43744.089699999997</v>
      </c>
      <c r="O109" s="34"/>
      <c r="P109" s="7"/>
      <c r="Q109" s="7"/>
      <c r="R109" s="8">
        <f>$R$108</f>
        <v>45056.412390999998</v>
      </c>
      <c r="S109" s="34"/>
      <c r="T109" s="7"/>
      <c r="U109" s="7"/>
      <c r="V109" s="8">
        <f>$V$108</f>
        <v>46408.104762729999</v>
      </c>
      <c r="W109" s="5"/>
      <c r="X109" s="5"/>
    </row>
    <row r="110" spans="1:24" x14ac:dyDescent="0.25">
      <c r="A110" s="119" t="s">
        <v>266</v>
      </c>
      <c r="B110" s="2"/>
      <c r="C110" s="34">
        <v>0</v>
      </c>
      <c r="D110" s="7"/>
      <c r="E110" s="7"/>
      <c r="F110" s="8"/>
      <c r="G110" s="34"/>
      <c r="H110" s="7"/>
      <c r="I110" s="7"/>
      <c r="J110" s="8">
        <f t="shared" ref="J110:J119" si="123">$J$108</f>
        <v>42469.99</v>
      </c>
      <c r="K110" s="34"/>
      <c r="L110" s="7"/>
      <c r="M110" s="7"/>
      <c r="N110" s="8">
        <f t="shared" ref="N110:N119" si="124">$N$108</f>
        <v>43744.089699999997</v>
      </c>
      <c r="O110" s="34"/>
      <c r="P110" s="7"/>
      <c r="Q110" s="7"/>
      <c r="R110" s="8">
        <f t="shared" ref="R110:R119" si="125">$R$108</f>
        <v>45056.412390999998</v>
      </c>
      <c r="S110" s="34"/>
      <c r="T110" s="7"/>
      <c r="U110" s="7"/>
      <c r="V110" s="8">
        <f t="shared" ref="V110:V119" si="126">$V$108</f>
        <v>46408.104762729999</v>
      </c>
      <c r="W110" s="5"/>
      <c r="X110" s="5"/>
    </row>
    <row r="111" spans="1:24" x14ac:dyDescent="0.25">
      <c r="A111" s="119" t="s">
        <v>266</v>
      </c>
      <c r="B111" s="2"/>
      <c r="C111" s="34">
        <v>0</v>
      </c>
      <c r="D111" s="7"/>
      <c r="E111" s="7"/>
      <c r="F111" s="8"/>
      <c r="G111" s="34"/>
      <c r="H111" s="7"/>
      <c r="I111" s="7"/>
      <c r="J111" s="8">
        <f t="shared" si="123"/>
        <v>42469.99</v>
      </c>
      <c r="K111" s="34"/>
      <c r="L111" s="7"/>
      <c r="M111" s="7"/>
      <c r="N111" s="8">
        <f t="shared" si="124"/>
        <v>43744.089699999997</v>
      </c>
      <c r="O111" s="34"/>
      <c r="P111" s="7"/>
      <c r="Q111" s="7"/>
      <c r="R111" s="8">
        <f t="shared" si="125"/>
        <v>45056.412390999998</v>
      </c>
      <c r="S111" s="34"/>
      <c r="T111" s="7"/>
      <c r="U111" s="7"/>
      <c r="V111" s="8">
        <f t="shared" si="126"/>
        <v>46408.104762729999</v>
      </c>
      <c r="W111" s="5"/>
      <c r="X111" s="5"/>
    </row>
    <row r="112" spans="1:24" x14ac:dyDescent="0.25">
      <c r="A112" s="119" t="s">
        <v>266</v>
      </c>
      <c r="B112" s="2"/>
      <c r="C112" s="34">
        <v>0</v>
      </c>
      <c r="D112" s="7"/>
      <c r="E112" s="7"/>
      <c r="F112" s="8"/>
      <c r="G112" s="34"/>
      <c r="H112" s="7"/>
      <c r="I112" s="7"/>
      <c r="J112" s="8">
        <f t="shared" si="123"/>
        <v>42469.99</v>
      </c>
      <c r="K112" s="34"/>
      <c r="L112" s="7"/>
      <c r="M112" s="7"/>
      <c r="N112" s="8">
        <f t="shared" si="124"/>
        <v>43744.089699999997</v>
      </c>
      <c r="O112" s="34"/>
      <c r="P112" s="7"/>
      <c r="Q112" s="7"/>
      <c r="R112" s="8">
        <f t="shared" si="125"/>
        <v>45056.412390999998</v>
      </c>
      <c r="S112" s="34"/>
      <c r="T112" s="7"/>
      <c r="U112" s="7"/>
      <c r="V112" s="8">
        <f t="shared" si="126"/>
        <v>46408.104762729999</v>
      </c>
      <c r="W112" s="5"/>
      <c r="X112" s="5"/>
    </row>
    <row r="113" spans="1:24" x14ac:dyDescent="0.25">
      <c r="A113" s="119" t="s">
        <v>266</v>
      </c>
      <c r="B113" s="2"/>
      <c r="C113" s="34">
        <v>0</v>
      </c>
      <c r="D113" s="7"/>
      <c r="E113" s="7"/>
      <c r="F113" s="8"/>
      <c r="G113" s="34"/>
      <c r="H113" s="7"/>
      <c r="I113" s="7"/>
      <c r="J113" s="8">
        <f t="shared" si="123"/>
        <v>42469.99</v>
      </c>
      <c r="K113" s="34"/>
      <c r="L113" s="7"/>
      <c r="M113" s="7"/>
      <c r="N113" s="8">
        <f t="shared" si="124"/>
        <v>43744.089699999997</v>
      </c>
      <c r="O113" s="34"/>
      <c r="P113" s="7"/>
      <c r="Q113" s="7"/>
      <c r="R113" s="8">
        <f t="shared" si="125"/>
        <v>45056.412390999998</v>
      </c>
      <c r="S113" s="34"/>
      <c r="T113" s="7"/>
      <c r="U113" s="7"/>
      <c r="V113" s="8">
        <f t="shared" si="126"/>
        <v>46408.104762729999</v>
      </c>
      <c r="W113" s="5"/>
      <c r="X113" s="5"/>
    </row>
    <row r="114" spans="1:24" x14ac:dyDescent="0.25">
      <c r="A114" s="119" t="s">
        <v>266</v>
      </c>
      <c r="B114" s="2"/>
      <c r="C114" s="34">
        <v>0</v>
      </c>
      <c r="D114" s="7"/>
      <c r="E114" s="7"/>
      <c r="F114" s="8"/>
      <c r="G114" s="34"/>
      <c r="H114" s="7"/>
      <c r="I114" s="7"/>
      <c r="J114" s="8">
        <f t="shared" si="123"/>
        <v>42469.99</v>
      </c>
      <c r="K114" s="34"/>
      <c r="L114" s="7"/>
      <c r="M114" s="7"/>
      <c r="N114" s="8">
        <f t="shared" si="124"/>
        <v>43744.089699999997</v>
      </c>
      <c r="O114" s="34"/>
      <c r="P114" s="7"/>
      <c r="Q114" s="7"/>
      <c r="R114" s="8">
        <f t="shared" si="125"/>
        <v>45056.412390999998</v>
      </c>
      <c r="S114" s="34"/>
      <c r="T114" s="7"/>
      <c r="U114" s="7"/>
      <c r="V114" s="8">
        <f t="shared" si="126"/>
        <v>46408.104762729999</v>
      </c>
      <c r="W114" s="5"/>
      <c r="X114" s="5"/>
    </row>
    <row r="115" spans="1:24" x14ac:dyDescent="0.25">
      <c r="A115" s="119" t="s">
        <v>266</v>
      </c>
      <c r="B115" s="2"/>
      <c r="C115" s="34">
        <v>0</v>
      </c>
      <c r="D115" s="7"/>
      <c r="E115" s="7"/>
      <c r="F115" s="8"/>
      <c r="G115" s="34"/>
      <c r="H115" s="7"/>
      <c r="I115" s="7"/>
      <c r="J115" s="8">
        <f t="shared" si="123"/>
        <v>42469.99</v>
      </c>
      <c r="K115" s="34"/>
      <c r="L115" s="7"/>
      <c r="M115" s="7"/>
      <c r="N115" s="8">
        <f t="shared" si="124"/>
        <v>43744.089699999997</v>
      </c>
      <c r="O115" s="34"/>
      <c r="P115" s="7"/>
      <c r="Q115" s="7"/>
      <c r="R115" s="8">
        <f t="shared" si="125"/>
        <v>45056.412390999998</v>
      </c>
      <c r="S115" s="34"/>
      <c r="T115" s="7"/>
      <c r="U115" s="7"/>
      <c r="V115" s="8">
        <f t="shared" si="126"/>
        <v>46408.104762729999</v>
      </c>
      <c r="W115" s="5"/>
      <c r="X115" s="5"/>
    </row>
    <row r="116" spans="1:24" x14ac:dyDescent="0.25">
      <c r="A116" s="119" t="s">
        <v>266</v>
      </c>
      <c r="B116" s="2"/>
      <c r="C116" s="34">
        <v>0</v>
      </c>
      <c r="D116" s="7"/>
      <c r="E116" s="7"/>
      <c r="F116" s="8"/>
      <c r="G116" s="34"/>
      <c r="H116" s="7"/>
      <c r="I116" s="7"/>
      <c r="J116" s="8">
        <f t="shared" si="123"/>
        <v>42469.99</v>
      </c>
      <c r="K116" s="34"/>
      <c r="L116" s="7"/>
      <c r="M116" s="7"/>
      <c r="N116" s="8">
        <f t="shared" si="124"/>
        <v>43744.089699999997</v>
      </c>
      <c r="O116" s="34"/>
      <c r="P116" s="7"/>
      <c r="Q116" s="7"/>
      <c r="R116" s="8">
        <f t="shared" si="125"/>
        <v>45056.412390999998</v>
      </c>
      <c r="S116" s="34"/>
      <c r="T116" s="7"/>
      <c r="U116" s="7"/>
      <c r="V116" s="8">
        <f t="shared" si="126"/>
        <v>46408.104762729999</v>
      </c>
      <c r="W116" s="5"/>
      <c r="X116" s="5"/>
    </row>
    <row r="117" spans="1:24" x14ac:dyDescent="0.25">
      <c r="A117" s="119" t="s">
        <v>266</v>
      </c>
      <c r="B117" s="2"/>
      <c r="C117" s="34">
        <v>0</v>
      </c>
      <c r="D117" s="7"/>
      <c r="E117" s="7"/>
      <c r="F117" s="8"/>
      <c r="G117" s="34"/>
      <c r="H117" s="7"/>
      <c r="I117" s="7"/>
      <c r="J117" s="8">
        <f t="shared" si="123"/>
        <v>42469.99</v>
      </c>
      <c r="K117" s="34"/>
      <c r="L117" s="7"/>
      <c r="M117" s="7"/>
      <c r="N117" s="8">
        <f t="shared" si="124"/>
        <v>43744.089699999997</v>
      </c>
      <c r="O117" s="34"/>
      <c r="P117" s="7"/>
      <c r="Q117" s="7"/>
      <c r="R117" s="8">
        <f t="shared" si="125"/>
        <v>45056.412390999998</v>
      </c>
      <c r="S117" s="34"/>
      <c r="T117" s="7"/>
      <c r="U117" s="7"/>
      <c r="V117" s="8">
        <f t="shared" si="126"/>
        <v>46408.104762729999</v>
      </c>
      <c r="W117" s="5"/>
      <c r="X117" s="5"/>
    </row>
    <row r="118" spans="1:24" x14ac:dyDescent="0.25">
      <c r="A118" s="119" t="s">
        <v>266</v>
      </c>
      <c r="B118" s="2"/>
      <c r="C118" s="34">
        <v>0</v>
      </c>
      <c r="D118" s="7"/>
      <c r="E118" s="7"/>
      <c r="F118" s="8"/>
      <c r="G118" s="34"/>
      <c r="H118" s="7"/>
      <c r="I118" s="7"/>
      <c r="J118" s="8">
        <f t="shared" si="123"/>
        <v>42469.99</v>
      </c>
      <c r="K118" s="34"/>
      <c r="L118" s="7"/>
      <c r="M118" s="7"/>
      <c r="N118" s="8">
        <f t="shared" si="124"/>
        <v>43744.089699999997</v>
      </c>
      <c r="O118" s="34"/>
      <c r="P118" s="7"/>
      <c r="Q118" s="7"/>
      <c r="R118" s="8">
        <f t="shared" si="125"/>
        <v>45056.412390999998</v>
      </c>
      <c r="S118" s="34"/>
      <c r="T118" s="7"/>
      <c r="U118" s="7"/>
      <c r="V118" s="8">
        <f t="shared" si="126"/>
        <v>46408.104762729999</v>
      </c>
      <c r="W118" s="5"/>
      <c r="X118" s="5"/>
    </row>
    <row r="119" spans="1:24" x14ac:dyDescent="0.25">
      <c r="A119" s="119" t="s">
        <v>266</v>
      </c>
      <c r="B119" s="2"/>
      <c r="C119" s="34">
        <v>0</v>
      </c>
      <c r="D119" s="7"/>
      <c r="E119" s="7"/>
      <c r="F119" s="8"/>
      <c r="G119" s="34"/>
      <c r="H119" s="7"/>
      <c r="I119" s="7"/>
      <c r="J119" s="8">
        <f t="shared" si="123"/>
        <v>42469.99</v>
      </c>
      <c r="K119" s="34"/>
      <c r="L119" s="7"/>
      <c r="M119" s="7"/>
      <c r="N119" s="8">
        <f t="shared" si="124"/>
        <v>43744.089699999997</v>
      </c>
      <c r="O119" s="34"/>
      <c r="P119" s="7"/>
      <c r="Q119" s="7"/>
      <c r="R119" s="8">
        <f t="shared" si="125"/>
        <v>45056.412390999998</v>
      </c>
      <c r="S119" s="34"/>
      <c r="T119" s="7"/>
      <c r="U119" s="7"/>
      <c r="V119" s="8">
        <f t="shared" si="126"/>
        <v>46408.104762729999</v>
      </c>
      <c r="W119" s="5"/>
      <c r="X119" s="5"/>
    </row>
    <row r="120" spans="1:24" x14ac:dyDescent="0.25">
      <c r="A120" s="24" t="s">
        <v>291</v>
      </c>
      <c r="B120" s="2">
        <v>1</v>
      </c>
      <c r="C120" s="34">
        <v>27490</v>
      </c>
      <c r="D120" s="7">
        <f t="shared" ref="D120:D132" si="127">C120*$F$2</f>
        <v>0</v>
      </c>
      <c r="E120" s="7">
        <f t="shared" ref="E120:E132" si="128">C120*$F$3</f>
        <v>0</v>
      </c>
      <c r="F120" s="8">
        <f t="shared" ref="F120:F132" si="129">SUM(C120:E120)</f>
        <v>27490</v>
      </c>
      <c r="G120" s="34">
        <f t="shared" ref="G120:G132" si="130">C120*$F$4</f>
        <v>28314.7</v>
      </c>
      <c r="H120" s="7">
        <f t="shared" ref="H120:H132" si="131">G120*$F$2</f>
        <v>0</v>
      </c>
      <c r="I120" s="7">
        <f t="shared" ref="I120:I132" si="132">G120*$F$3</f>
        <v>0</v>
      </c>
      <c r="J120" s="8">
        <f t="shared" ref="J120:J132" si="133">SUM(G120:I120)</f>
        <v>28314.7</v>
      </c>
      <c r="K120" s="34">
        <f t="shared" ref="K120:K132" si="134">G120*$F$4</f>
        <v>29164.141000000003</v>
      </c>
      <c r="L120" s="7">
        <f t="shared" ref="L120:L132" si="135">K120*$F$2</f>
        <v>0</v>
      </c>
      <c r="M120" s="7">
        <f t="shared" ref="M120:M132" si="136">K120*$F$3</f>
        <v>0</v>
      </c>
      <c r="N120" s="8">
        <f t="shared" ref="N120:N132" si="137">SUM(K120:M120)</f>
        <v>29164.141000000003</v>
      </c>
      <c r="O120" s="34">
        <f t="shared" ref="O120:O132" si="138">K120*$F$4</f>
        <v>30039.065230000004</v>
      </c>
      <c r="P120" s="7">
        <f t="shared" ref="P120:P132" si="139">O120*$F$2</f>
        <v>0</v>
      </c>
      <c r="Q120" s="7">
        <f t="shared" ref="Q120:Q132" si="140">O120*$F$3</f>
        <v>0</v>
      </c>
      <c r="R120" s="8">
        <f t="shared" ref="R120:R132" si="141">SUM(O120:Q120)</f>
        <v>30039.065230000004</v>
      </c>
      <c r="S120" s="34">
        <f t="shared" ref="S120:S132" si="142">O120*$F$4</f>
        <v>30940.237186900005</v>
      </c>
      <c r="T120" s="7">
        <f t="shared" ref="T120:T132" si="143">S120*$F$2</f>
        <v>0</v>
      </c>
      <c r="U120" s="7">
        <f t="shared" ref="U120:U132" si="144">S120*$F$3</f>
        <v>0</v>
      </c>
      <c r="V120" s="8">
        <f t="shared" ref="V120:V132" si="145">SUM(S120:U120)</f>
        <v>30940.237186900005</v>
      </c>
      <c r="W120" s="5">
        <f t="shared" ref="W120:W132" si="146">AVERAGE(F120,J120,N120,R120,V120)</f>
        <v>29189.628683380004</v>
      </c>
      <c r="X120" s="5">
        <f t="shared" ref="X120:X132" si="147">SUM(F120,J120,N120,R120,V120)/$X$1</f>
        <v>2432.4690569483337</v>
      </c>
    </row>
    <row r="121" spans="1:24" x14ac:dyDescent="0.25">
      <c r="A121" s="24" t="s">
        <v>290</v>
      </c>
      <c r="B121" s="2">
        <v>2</v>
      </c>
      <c r="C121" s="34">
        <v>28892</v>
      </c>
      <c r="D121" s="7">
        <f t="shared" si="127"/>
        <v>0</v>
      </c>
      <c r="E121" s="7">
        <f t="shared" si="128"/>
        <v>0</v>
      </c>
      <c r="F121" s="8">
        <f t="shared" si="129"/>
        <v>28892</v>
      </c>
      <c r="G121" s="34">
        <f t="shared" si="130"/>
        <v>29758.760000000002</v>
      </c>
      <c r="H121" s="7">
        <f t="shared" si="131"/>
        <v>0</v>
      </c>
      <c r="I121" s="7">
        <f t="shared" si="132"/>
        <v>0</v>
      </c>
      <c r="J121" s="8">
        <f t="shared" si="133"/>
        <v>29758.760000000002</v>
      </c>
      <c r="K121" s="34">
        <f t="shared" si="134"/>
        <v>30651.522800000002</v>
      </c>
      <c r="L121" s="7">
        <f t="shared" si="135"/>
        <v>0</v>
      </c>
      <c r="M121" s="7">
        <f t="shared" si="136"/>
        <v>0</v>
      </c>
      <c r="N121" s="8">
        <f t="shared" si="137"/>
        <v>30651.522800000002</v>
      </c>
      <c r="O121" s="34">
        <f t="shared" si="138"/>
        <v>31571.068484000003</v>
      </c>
      <c r="P121" s="7">
        <f t="shared" si="139"/>
        <v>0</v>
      </c>
      <c r="Q121" s="7">
        <f t="shared" si="140"/>
        <v>0</v>
      </c>
      <c r="R121" s="8">
        <f t="shared" si="141"/>
        <v>31571.068484000003</v>
      </c>
      <c r="S121" s="34">
        <f t="shared" si="142"/>
        <v>32518.200538520003</v>
      </c>
      <c r="T121" s="7">
        <f t="shared" si="143"/>
        <v>0</v>
      </c>
      <c r="U121" s="7">
        <f t="shared" si="144"/>
        <v>0</v>
      </c>
      <c r="V121" s="8">
        <f t="shared" si="145"/>
        <v>32518.200538520003</v>
      </c>
      <c r="W121" s="5">
        <f t="shared" si="146"/>
        <v>30678.310364504003</v>
      </c>
      <c r="X121" s="5">
        <f t="shared" si="147"/>
        <v>2556.5258637086667</v>
      </c>
    </row>
    <row r="122" spans="1:24" x14ac:dyDescent="0.25">
      <c r="A122" s="24" t="s">
        <v>289</v>
      </c>
      <c r="B122" s="2">
        <v>3</v>
      </c>
      <c r="C122" s="34">
        <v>29896</v>
      </c>
      <c r="D122" s="7">
        <f t="shared" si="127"/>
        <v>0</v>
      </c>
      <c r="E122" s="7">
        <f t="shared" si="128"/>
        <v>0</v>
      </c>
      <c r="F122" s="8">
        <f t="shared" si="129"/>
        <v>29896</v>
      </c>
      <c r="G122" s="34">
        <f t="shared" si="130"/>
        <v>30792.880000000001</v>
      </c>
      <c r="H122" s="7">
        <f t="shared" si="131"/>
        <v>0</v>
      </c>
      <c r="I122" s="7">
        <f t="shared" si="132"/>
        <v>0</v>
      </c>
      <c r="J122" s="8">
        <f t="shared" si="133"/>
        <v>30792.880000000001</v>
      </c>
      <c r="K122" s="34">
        <f t="shared" si="134"/>
        <v>31716.666400000002</v>
      </c>
      <c r="L122" s="7">
        <f t="shared" si="135"/>
        <v>0</v>
      </c>
      <c r="M122" s="7">
        <f t="shared" si="136"/>
        <v>0</v>
      </c>
      <c r="N122" s="8">
        <f t="shared" si="137"/>
        <v>31716.666400000002</v>
      </c>
      <c r="O122" s="34">
        <f t="shared" si="138"/>
        <v>32668.166392000003</v>
      </c>
      <c r="P122" s="7">
        <f t="shared" si="139"/>
        <v>0</v>
      </c>
      <c r="Q122" s="7">
        <f t="shared" si="140"/>
        <v>0</v>
      </c>
      <c r="R122" s="8">
        <f t="shared" si="141"/>
        <v>32668.166392000003</v>
      </c>
      <c r="S122" s="34">
        <f t="shared" si="142"/>
        <v>33648.211383760005</v>
      </c>
      <c r="T122" s="7">
        <f t="shared" si="143"/>
        <v>0</v>
      </c>
      <c r="U122" s="7">
        <f t="shared" si="144"/>
        <v>0</v>
      </c>
      <c r="V122" s="8">
        <f t="shared" si="145"/>
        <v>33648.211383760005</v>
      </c>
      <c r="W122" s="5">
        <f t="shared" si="146"/>
        <v>31744.384835152003</v>
      </c>
      <c r="X122" s="5">
        <f t="shared" si="147"/>
        <v>2645.3654029293334</v>
      </c>
    </row>
    <row r="123" spans="1:24" x14ac:dyDescent="0.25">
      <c r="A123" s="24" t="s">
        <v>288</v>
      </c>
      <c r="B123" s="2">
        <v>4</v>
      </c>
      <c r="C123" s="34">
        <v>31428</v>
      </c>
      <c r="D123" s="7">
        <f t="shared" si="127"/>
        <v>0</v>
      </c>
      <c r="E123" s="7">
        <f t="shared" si="128"/>
        <v>0</v>
      </c>
      <c r="F123" s="8">
        <f t="shared" si="129"/>
        <v>31428</v>
      </c>
      <c r="G123" s="34">
        <f t="shared" si="130"/>
        <v>32370.84</v>
      </c>
      <c r="H123" s="7">
        <f t="shared" si="131"/>
        <v>0</v>
      </c>
      <c r="I123" s="7">
        <f t="shared" si="132"/>
        <v>0</v>
      </c>
      <c r="J123" s="8">
        <f t="shared" si="133"/>
        <v>32370.84</v>
      </c>
      <c r="K123" s="34">
        <f t="shared" si="134"/>
        <v>33341.965199999999</v>
      </c>
      <c r="L123" s="7">
        <f t="shared" si="135"/>
        <v>0</v>
      </c>
      <c r="M123" s="7">
        <f t="shared" si="136"/>
        <v>0</v>
      </c>
      <c r="N123" s="8">
        <f t="shared" si="137"/>
        <v>33341.965199999999</v>
      </c>
      <c r="O123" s="34">
        <f t="shared" si="138"/>
        <v>34342.224155999997</v>
      </c>
      <c r="P123" s="7">
        <f t="shared" si="139"/>
        <v>0</v>
      </c>
      <c r="Q123" s="7">
        <f t="shared" si="140"/>
        <v>0</v>
      </c>
      <c r="R123" s="8">
        <f t="shared" si="141"/>
        <v>34342.224155999997</v>
      </c>
      <c r="S123" s="34">
        <f t="shared" si="142"/>
        <v>35372.490880679994</v>
      </c>
      <c r="T123" s="7">
        <f t="shared" si="143"/>
        <v>0</v>
      </c>
      <c r="U123" s="7">
        <f t="shared" si="144"/>
        <v>0</v>
      </c>
      <c r="V123" s="8">
        <f t="shared" si="145"/>
        <v>35372.490880679994</v>
      </c>
      <c r="W123" s="5">
        <f t="shared" si="146"/>
        <v>33371.104047335997</v>
      </c>
      <c r="X123" s="5">
        <f t="shared" si="147"/>
        <v>2780.9253372779999</v>
      </c>
    </row>
    <row r="124" spans="1:24" x14ac:dyDescent="0.25">
      <c r="A124" s="24" t="s">
        <v>287</v>
      </c>
      <c r="B124" s="2">
        <v>5</v>
      </c>
      <c r="C124" s="34">
        <v>33007</v>
      </c>
      <c r="D124" s="7">
        <f t="shared" si="127"/>
        <v>0</v>
      </c>
      <c r="E124" s="7">
        <f t="shared" si="128"/>
        <v>0</v>
      </c>
      <c r="F124" s="8">
        <f t="shared" si="129"/>
        <v>33007</v>
      </c>
      <c r="G124" s="34">
        <f t="shared" si="130"/>
        <v>33997.21</v>
      </c>
      <c r="H124" s="7">
        <f t="shared" si="131"/>
        <v>0</v>
      </c>
      <c r="I124" s="7">
        <f t="shared" si="132"/>
        <v>0</v>
      </c>
      <c r="J124" s="8">
        <f t="shared" si="133"/>
        <v>33997.21</v>
      </c>
      <c r="K124" s="34">
        <f t="shared" si="134"/>
        <v>35017.126300000004</v>
      </c>
      <c r="L124" s="7">
        <f t="shared" si="135"/>
        <v>0</v>
      </c>
      <c r="M124" s="7">
        <f t="shared" si="136"/>
        <v>0</v>
      </c>
      <c r="N124" s="8">
        <f t="shared" si="137"/>
        <v>35017.126300000004</v>
      </c>
      <c r="O124" s="34">
        <f t="shared" si="138"/>
        <v>36067.640089000008</v>
      </c>
      <c r="P124" s="7">
        <f t="shared" si="139"/>
        <v>0</v>
      </c>
      <c r="Q124" s="7">
        <f t="shared" si="140"/>
        <v>0</v>
      </c>
      <c r="R124" s="8">
        <f t="shared" si="141"/>
        <v>36067.640089000008</v>
      </c>
      <c r="S124" s="34">
        <f t="shared" si="142"/>
        <v>37149.669291670012</v>
      </c>
      <c r="T124" s="7">
        <f t="shared" si="143"/>
        <v>0</v>
      </c>
      <c r="U124" s="7">
        <f t="shared" si="144"/>
        <v>0</v>
      </c>
      <c r="V124" s="8">
        <f t="shared" si="145"/>
        <v>37149.669291670012</v>
      </c>
      <c r="W124" s="5">
        <f t="shared" si="146"/>
        <v>35047.72913613401</v>
      </c>
      <c r="X124" s="5">
        <f t="shared" si="147"/>
        <v>2920.6440946778339</v>
      </c>
    </row>
    <row r="125" spans="1:24" x14ac:dyDescent="0.25">
      <c r="A125" s="24" t="s">
        <v>286</v>
      </c>
      <c r="B125" s="2">
        <v>6</v>
      </c>
      <c r="C125" s="34">
        <v>34283</v>
      </c>
      <c r="D125" s="7">
        <f t="shared" si="127"/>
        <v>0</v>
      </c>
      <c r="E125" s="7">
        <f t="shared" si="128"/>
        <v>0</v>
      </c>
      <c r="F125" s="8">
        <f t="shared" si="129"/>
        <v>34283</v>
      </c>
      <c r="G125" s="34">
        <f t="shared" si="130"/>
        <v>35311.49</v>
      </c>
      <c r="H125" s="7">
        <f t="shared" si="131"/>
        <v>0</v>
      </c>
      <c r="I125" s="7">
        <f t="shared" si="132"/>
        <v>0</v>
      </c>
      <c r="J125" s="8">
        <f t="shared" si="133"/>
        <v>35311.49</v>
      </c>
      <c r="K125" s="34">
        <f t="shared" si="134"/>
        <v>36370.834699999999</v>
      </c>
      <c r="L125" s="7">
        <f t="shared" si="135"/>
        <v>0</v>
      </c>
      <c r="M125" s="7">
        <f t="shared" si="136"/>
        <v>0</v>
      </c>
      <c r="N125" s="8">
        <f t="shared" si="137"/>
        <v>36370.834699999999</v>
      </c>
      <c r="O125" s="34">
        <f t="shared" si="138"/>
        <v>37461.959740999999</v>
      </c>
      <c r="P125" s="7">
        <f t="shared" si="139"/>
        <v>0</v>
      </c>
      <c r="Q125" s="7">
        <f t="shared" si="140"/>
        <v>0</v>
      </c>
      <c r="R125" s="8">
        <f t="shared" si="141"/>
        <v>37461.959740999999</v>
      </c>
      <c r="S125" s="34">
        <f t="shared" si="142"/>
        <v>38585.818533229998</v>
      </c>
      <c r="T125" s="7">
        <f t="shared" si="143"/>
        <v>0</v>
      </c>
      <c r="U125" s="7">
        <f t="shared" si="144"/>
        <v>0</v>
      </c>
      <c r="V125" s="8">
        <f t="shared" si="145"/>
        <v>38585.818533229998</v>
      </c>
      <c r="W125" s="5">
        <f t="shared" si="146"/>
        <v>36402.620594845997</v>
      </c>
      <c r="X125" s="5">
        <f t="shared" si="147"/>
        <v>3033.5517162371666</v>
      </c>
    </row>
    <row r="126" spans="1:24" x14ac:dyDescent="0.25">
      <c r="A126" s="24" t="s">
        <v>285</v>
      </c>
      <c r="B126" s="2">
        <v>7</v>
      </c>
      <c r="C126" s="34">
        <v>35656</v>
      </c>
      <c r="D126" s="7">
        <f t="shared" si="127"/>
        <v>0</v>
      </c>
      <c r="E126" s="7">
        <f t="shared" si="128"/>
        <v>0</v>
      </c>
      <c r="F126" s="8">
        <f t="shared" si="129"/>
        <v>35656</v>
      </c>
      <c r="G126" s="34">
        <f t="shared" si="130"/>
        <v>36725.68</v>
      </c>
      <c r="H126" s="7">
        <f t="shared" si="131"/>
        <v>0</v>
      </c>
      <c r="I126" s="7">
        <f t="shared" si="132"/>
        <v>0</v>
      </c>
      <c r="J126" s="8">
        <f t="shared" si="133"/>
        <v>36725.68</v>
      </c>
      <c r="K126" s="34">
        <f t="shared" si="134"/>
        <v>37827.450400000002</v>
      </c>
      <c r="L126" s="7">
        <f t="shared" si="135"/>
        <v>0</v>
      </c>
      <c r="M126" s="7">
        <f t="shared" si="136"/>
        <v>0</v>
      </c>
      <c r="N126" s="8">
        <f t="shared" si="137"/>
        <v>37827.450400000002</v>
      </c>
      <c r="O126" s="34">
        <f t="shared" si="138"/>
        <v>38962.273912000004</v>
      </c>
      <c r="P126" s="7">
        <f t="shared" si="139"/>
        <v>0</v>
      </c>
      <c r="Q126" s="7">
        <f t="shared" si="140"/>
        <v>0</v>
      </c>
      <c r="R126" s="8">
        <f t="shared" si="141"/>
        <v>38962.273912000004</v>
      </c>
      <c r="S126" s="34">
        <f t="shared" si="142"/>
        <v>40131.142129360007</v>
      </c>
      <c r="T126" s="7">
        <f t="shared" si="143"/>
        <v>0</v>
      </c>
      <c r="U126" s="7">
        <f t="shared" si="144"/>
        <v>0</v>
      </c>
      <c r="V126" s="8">
        <f t="shared" si="145"/>
        <v>40131.142129360007</v>
      </c>
      <c r="W126" s="5">
        <f t="shared" si="146"/>
        <v>37860.509288271998</v>
      </c>
      <c r="X126" s="5">
        <f t="shared" si="147"/>
        <v>3155.0424406893335</v>
      </c>
    </row>
    <row r="127" spans="1:24" x14ac:dyDescent="0.25">
      <c r="A127" s="24" t="s">
        <v>284</v>
      </c>
      <c r="B127" s="2">
        <v>8</v>
      </c>
      <c r="C127" s="34">
        <v>36734</v>
      </c>
      <c r="D127" s="7">
        <f t="shared" si="127"/>
        <v>0</v>
      </c>
      <c r="E127" s="7">
        <f t="shared" si="128"/>
        <v>0</v>
      </c>
      <c r="F127" s="8">
        <f t="shared" si="129"/>
        <v>36734</v>
      </c>
      <c r="G127" s="34">
        <f t="shared" si="130"/>
        <v>37836.020000000004</v>
      </c>
      <c r="H127" s="7">
        <f t="shared" si="131"/>
        <v>0</v>
      </c>
      <c r="I127" s="7">
        <f t="shared" si="132"/>
        <v>0</v>
      </c>
      <c r="J127" s="8">
        <f t="shared" si="133"/>
        <v>37836.020000000004</v>
      </c>
      <c r="K127" s="34">
        <f t="shared" si="134"/>
        <v>38971.100600000005</v>
      </c>
      <c r="L127" s="7">
        <f t="shared" si="135"/>
        <v>0</v>
      </c>
      <c r="M127" s="7">
        <f t="shared" si="136"/>
        <v>0</v>
      </c>
      <c r="N127" s="8">
        <f t="shared" si="137"/>
        <v>38971.100600000005</v>
      </c>
      <c r="O127" s="34">
        <f t="shared" si="138"/>
        <v>40140.233618000006</v>
      </c>
      <c r="P127" s="7">
        <f t="shared" si="139"/>
        <v>0</v>
      </c>
      <c r="Q127" s="7">
        <f t="shared" si="140"/>
        <v>0</v>
      </c>
      <c r="R127" s="8">
        <f t="shared" si="141"/>
        <v>40140.233618000006</v>
      </c>
      <c r="S127" s="34">
        <f t="shared" si="142"/>
        <v>41344.44062654001</v>
      </c>
      <c r="T127" s="7">
        <f t="shared" si="143"/>
        <v>0</v>
      </c>
      <c r="U127" s="7">
        <f t="shared" si="144"/>
        <v>0</v>
      </c>
      <c r="V127" s="8">
        <f t="shared" si="145"/>
        <v>41344.44062654001</v>
      </c>
      <c r="W127" s="5">
        <f t="shared" si="146"/>
        <v>39005.158968908006</v>
      </c>
      <c r="X127" s="5">
        <f t="shared" si="147"/>
        <v>3250.4299140756675</v>
      </c>
    </row>
    <row r="128" spans="1:24" x14ac:dyDescent="0.25">
      <c r="A128" s="127" t="s">
        <v>283</v>
      </c>
      <c r="B128" s="2">
        <v>9</v>
      </c>
      <c r="C128" s="7">
        <v>38129</v>
      </c>
      <c r="D128" s="7">
        <f t="shared" si="127"/>
        <v>0</v>
      </c>
      <c r="E128" s="7">
        <f t="shared" si="128"/>
        <v>0</v>
      </c>
      <c r="F128" s="7">
        <f t="shared" si="129"/>
        <v>38129</v>
      </c>
      <c r="G128" s="7">
        <f t="shared" si="130"/>
        <v>39272.870000000003</v>
      </c>
      <c r="H128" s="7">
        <f t="shared" si="131"/>
        <v>0</v>
      </c>
      <c r="I128" s="7">
        <f t="shared" si="132"/>
        <v>0</v>
      </c>
      <c r="J128" s="7">
        <f t="shared" si="133"/>
        <v>39272.870000000003</v>
      </c>
      <c r="K128" s="7">
        <f t="shared" si="134"/>
        <v>40451.056100000002</v>
      </c>
      <c r="L128" s="7">
        <f t="shared" si="135"/>
        <v>0</v>
      </c>
      <c r="M128" s="7">
        <f t="shared" si="136"/>
        <v>0</v>
      </c>
      <c r="N128" s="7">
        <f t="shared" si="137"/>
        <v>40451.056100000002</v>
      </c>
      <c r="O128" s="7">
        <f t="shared" si="138"/>
        <v>41664.587783000003</v>
      </c>
      <c r="P128" s="7">
        <f t="shared" si="139"/>
        <v>0</v>
      </c>
      <c r="Q128" s="7">
        <f t="shared" si="140"/>
        <v>0</v>
      </c>
      <c r="R128" s="7">
        <f t="shared" si="141"/>
        <v>41664.587783000003</v>
      </c>
      <c r="S128" s="7">
        <f t="shared" si="142"/>
        <v>42914.525416490003</v>
      </c>
      <c r="T128" s="7">
        <f t="shared" si="143"/>
        <v>0</v>
      </c>
      <c r="U128" s="7">
        <f t="shared" si="144"/>
        <v>0</v>
      </c>
      <c r="V128" s="7">
        <f t="shared" si="145"/>
        <v>42914.525416490003</v>
      </c>
      <c r="W128" s="5">
        <f t="shared" si="146"/>
        <v>40486.407859898005</v>
      </c>
      <c r="X128" s="5">
        <f t="shared" si="147"/>
        <v>3373.8673216581669</v>
      </c>
    </row>
    <row r="129" spans="1:24" x14ac:dyDescent="0.25">
      <c r="A129" s="127" t="s">
        <v>282</v>
      </c>
      <c r="B129" s="2">
        <v>10</v>
      </c>
      <c r="C129" s="7">
        <v>39546</v>
      </c>
      <c r="D129" s="7">
        <f t="shared" si="127"/>
        <v>0</v>
      </c>
      <c r="E129" s="7">
        <f t="shared" si="128"/>
        <v>0</v>
      </c>
      <c r="F129" s="7">
        <f t="shared" si="129"/>
        <v>39546</v>
      </c>
      <c r="G129" s="7">
        <f t="shared" si="130"/>
        <v>40732.380000000005</v>
      </c>
      <c r="H129" s="7">
        <f t="shared" si="131"/>
        <v>0</v>
      </c>
      <c r="I129" s="7">
        <f t="shared" si="132"/>
        <v>0</v>
      </c>
      <c r="J129" s="7">
        <f t="shared" si="133"/>
        <v>40732.380000000005</v>
      </c>
      <c r="K129" s="7">
        <f t="shared" si="134"/>
        <v>41954.351400000007</v>
      </c>
      <c r="L129" s="7">
        <f t="shared" si="135"/>
        <v>0</v>
      </c>
      <c r="M129" s="7">
        <f t="shared" si="136"/>
        <v>0</v>
      </c>
      <c r="N129" s="7">
        <f t="shared" si="137"/>
        <v>41954.351400000007</v>
      </c>
      <c r="O129" s="7">
        <f t="shared" si="138"/>
        <v>43212.981942000006</v>
      </c>
      <c r="P129" s="7">
        <f t="shared" si="139"/>
        <v>0</v>
      </c>
      <c r="Q129" s="7">
        <f t="shared" si="140"/>
        <v>0</v>
      </c>
      <c r="R129" s="7">
        <f t="shared" si="141"/>
        <v>43212.981942000006</v>
      </c>
      <c r="S129" s="7">
        <f t="shared" si="142"/>
        <v>44509.37140026001</v>
      </c>
      <c r="T129" s="7">
        <f t="shared" si="143"/>
        <v>0</v>
      </c>
      <c r="U129" s="7">
        <f t="shared" si="144"/>
        <v>0</v>
      </c>
      <c r="V129" s="7">
        <f t="shared" si="145"/>
        <v>44509.37140026001</v>
      </c>
      <c r="W129" s="5">
        <f t="shared" si="146"/>
        <v>41991.016948452008</v>
      </c>
      <c r="X129" s="5">
        <f t="shared" si="147"/>
        <v>3499.2514123710007</v>
      </c>
    </row>
    <row r="130" spans="1:24" x14ac:dyDescent="0.25">
      <c r="A130" s="24" t="s">
        <v>281</v>
      </c>
      <c r="B130" s="2">
        <v>11</v>
      </c>
      <c r="C130" s="34">
        <v>40921</v>
      </c>
      <c r="D130" s="7">
        <f t="shared" si="127"/>
        <v>0</v>
      </c>
      <c r="E130" s="7">
        <f t="shared" si="128"/>
        <v>0</v>
      </c>
      <c r="F130" s="8">
        <f t="shared" si="129"/>
        <v>40921</v>
      </c>
      <c r="G130" s="34">
        <f t="shared" si="130"/>
        <v>42148.630000000005</v>
      </c>
      <c r="H130" s="7">
        <f t="shared" si="131"/>
        <v>0</v>
      </c>
      <c r="I130" s="7">
        <f t="shared" si="132"/>
        <v>0</v>
      </c>
      <c r="J130" s="8">
        <f t="shared" si="133"/>
        <v>42148.630000000005</v>
      </c>
      <c r="K130" s="34">
        <f t="shared" si="134"/>
        <v>43413.088900000002</v>
      </c>
      <c r="L130" s="7">
        <f t="shared" si="135"/>
        <v>0</v>
      </c>
      <c r="M130" s="7">
        <f t="shared" si="136"/>
        <v>0</v>
      </c>
      <c r="N130" s="8">
        <f t="shared" si="137"/>
        <v>43413.088900000002</v>
      </c>
      <c r="O130" s="34">
        <f t="shared" si="138"/>
        <v>44715.481567000003</v>
      </c>
      <c r="P130" s="7">
        <f t="shared" si="139"/>
        <v>0</v>
      </c>
      <c r="Q130" s="7">
        <f t="shared" si="140"/>
        <v>0</v>
      </c>
      <c r="R130" s="8">
        <f t="shared" si="141"/>
        <v>44715.481567000003</v>
      </c>
      <c r="S130" s="34">
        <f t="shared" si="142"/>
        <v>46056.946014010005</v>
      </c>
      <c r="T130" s="7">
        <f t="shared" si="143"/>
        <v>0</v>
      </c>
      <c r="U130" s="7">
        <f t="shared" si="144"/>
        <v>0</v>
      </c>
      <c r="V130" s="8">
        <f t="shared" si="145"/>
        <v>46056.946014010005</v>
      </c>
      <c r="W130" s="5">
        <f t="shared" si="146"/>
        <v>43451.029296202003</v>
      </c>
      <c r="X130" s="5">
        <f t="shared" si="147"/>
        <v>3620.9191080168334</v>
      </c>
    </row>
    <row r="131" spans="1:24" x14ac:dyDescent="0.25">
      <c r="A131" s="127" t="s">
        <v>280</v>
      </c>
      <c r="B131" s="2">
        <v>12</v>
      </c>
      <c r="C131" s="7">
        <v>42073</v>
      </c>
      <c r="D131" s="7">
        <f t="shared" si="127"/>
        <v>0</v>
      </c>
      <c r="E131" s="7">
        <f t="shared" si="128"/>
        <v>0</v>
      </c>
      <c r="F131" s="7">
        <f t="shared" si="129"/>
        <v>42073</v>
      </c>
      <c r="G131" s="7">
        <f t="shared" si="130"/>
        <v>43335.19</v>
      </c>
      <c r="H131" s="7">
        <f t="shared" si="131"/>
        <v>0</v>
      </c>
      <c r="I131" s="7">
        <f t="shared" si="132"/>
        <v>0</v>
      </c>
      <c r="J131" s="7">
        <f t="shared" si="133"/>
        <v>43335.19</v>
      </c>
      <c r="K131" s="7">
        <f t="shared" si="134"/>
        <v>44635.245700000007</v>
      </c>
      <c r="L131" s="7">
        <f t="shared" si="135"/>
        <v>0</v>
      </c>
      <c r="M131" s="7">
        <f t="shared" si="136"/>
        <v>0</v>
      </c>
      <c r="N131" s="7">
        <f t="shared" si="137"/>
        <v>44635.245700000007</v>
      </c>
      <c r="O131" s="7">
        <f t="shared" si="138"/>
        <v>45974.303071000009</v>
      </c>
      <c r="P131" s="7">
        <f t="shared" si="139"/>
        <v>0</v>
      </c>
      <c r="Q131" s="7">
        <f t="shared" si="140"/>
        <v>0</v>
      </c>
      <c r="R131" s="7">
        <f t="shared" si="141"/>
        <v>45974.303071000009</v>
      </c>
      <c r="S131" s="7">
        <f t="shared" si="142"/>
        <v>47353.53216313001</v>
      </c>
      <c r="T131" s="7">
        <f t="shared" si="143"/>
        <v>0</v>
      </c>
      <c r="U131" s="7">
        <f t="shared" si="144"/>
        <v>0</v>
      </c>
      <c r="V131" s="7">
        <f t="shared" si="145"/>
        <v>47353.53216313001</v>
      </c>
      <c r="W131" s="5">
        <f t="shared" si="146"/>
        <v>44674.254186826001</v>
      </c>
      <c r="X131" s="5">
        <f t="shared" si="147"/>
        <v>3722.8545155688334</v>
      </c>
    </row>
    <row r="132" spans="1:24" x14ac:dyDescent="0.25">
      <c r="A132" s="127" t="s">
        <v>279</v>
      </c>
      <c r="B132" s="2">
        <v>13</v>
      </c>
      <c r="C132" s="7">
        <v>43250</v>
      </c>
      <c r="D132" s="7">
        <f t="shared" si="127"/>
        <v>0</v>
      </c>
      <c r="E132" s="7">
        <f t="shared" si="128"/>
        <v>0</v>
      </c>
      <c r="F132" s="7">
        <f t="shared" si="129"/>
        <v>43250</v>
      </c>
      <c r="G132" s="7">
        <f t="shared" si="130"/>
        <v>44547.5</v>
      </c>
      <c r="H132" s="7">
        <f t="shared" si="131"/>
        <v>0</v>
      </c>
      <c r="I132" s="7">
        <f t="shared" si="132"/>
        <v>0</v>
      </c>
      <c r="J132" s="7">
        <f t="shared" si="133"/>
        <v>44547.5</v>
      </c>
      <c r="K132" s="7">
        <f t="shared" si="134"/>
        <v>45883.925000000003</v>
      </c>
      <c r="L132" s="7">
        <f t="shared" si="135"/>
        <v>0</v>
      </c>
      <c r="M132" s="7">
        <f t="shared" si="136"/>
        <v>0</v>
      </c>
      <c r="N132" s="7">
        <f t="shared" si="137"/>
        <v>45883.925000000003</v>
      </c>
      <c r="O132" s="7">
        <f t="shared" si="138"/>
        <v>47260.442750000002</v>
      </c>
      <c r="P132" s="7">
        <f t="shared" si="139"/>
        <v>0</v>
      </c>
      <c r="Q132" s="7">
        <f t="shared" si="140"/>
        <v>0</v>
      </c>
      <c r="R132" s="7">
        <f t="shared" si="141"/>
        <v>47260.442750000002</v>
      </c>
      <c r="S132" s="7">
        <f t="shared" si="142"/>
        <v>48678.256032500001</v>
      </c>
      <c r="T132" s="7">
        <f t="shared" si="143"/>
        <v>0</v>
      </c>
      <c r="U132" s="7">
        <f t="shared" si="144"/>
        <v>0</v>
      </c>
      <c r="V132" s="7">
        <f t="shared" si="145"/>
        <v>48678.256032500001</v>
      </c>
      <c r="W132" s="5">
        <f t="shared" si="146"/>
        <v>45924.024756499995</v>
      </c>
      <c r="X132" s="5">
        <f t="shared" si="147"/>
        <v>3827.0020630416666</v>
      </c>
    </row>
    <row r="133" spans="1:24" hidden="1" x14ac:dyDescent="0.25">
      <c r="A133" s="119" t="s">
        <v>266</v>
      </c>
      <c r="C133" s="2">
        <v>0</v>
      </c>
      <c r="J133" s="5">
        <f>$J$132</f>
        <v>44547.5</v>
      </c>
      <c r="N133" s="5">
        <f>$N$132</f>
        <v>45883.925000000003</v>
      </c>
      <c r="R133" s="5">
        <f>$R$132</f>
        <v>47260.442750000002</v>
      </c>
      <c r="V133" s="5">
        <f>$V$132</f>
        <v>48678.256032500001</v>
      </c>
    </row>
    <row r="134" spans="1:24" hidden="1" x14ac:dyDescent="0.25">
      <c r="A134" s="119" t="s">
        <v>266</v>
      </c>
      <c r="C134" s="2">
        <v>0</v>
      </c>
      <c r="J134" s="5">
        <f t="shared" ref="J134:J170" si="148">$J$132</f>
        <v>44547.5</v>
      </c>
      <c r="N134" s="5">
        <f t="shared" ref="N134:N170" si="149">$N$132</f>
        <v>45883.925000000003</v>
      </c>
      <c r="R134" s="5">
        <f t="shared" ref="R134:R170" si="150">$R$132</f>
        <v>47260.442750000002</v>
      </c>
      <c r="V134" s="5">
        <f t="shared" ref="V134:V170" si="151">$V$132</f>
        <v>48678.256032500001</v>
      </c>
    </row>
    <row r="135" spans="1:24" hidden="1" x14ac:dyDescent="0.25">
      <c r="A135" s="119" t="s">
        <v>266</v>
      </c>
      <c r="C135" s="2">
        <v>0</v>
      </c>
      <c r="J135" s="5">
        <f t="shared" si="148"/>
        <v>44547.5</v>
      </c>
      <c r="N135" s="5">
        <f t="shared" si="149"/>
        <v>45883.925000000003</v>
      </c>
      <c r="R135" s="5">
        <f t="shared" si="150"/>
        <v>47260.442750000002</v>
      </c>
      <c r="V135" s="5">
        <f t="shared" si="151"/>
        <v>48678.256032500001</v>
      </c>
    </row>
    <row r="136" spans="1:24" hidden="1" x14ac:dyDescent="0.25">
      <c r="A136" s="119" t="s">
        <v>266</v>
      </c>
      <c r="C136" s="2">
        <v>0</v>
      </c>
      <c r="J136" s="5">
        <f t="shared" si="148"/>
        <v>44547.5</v>
      </c>
      <c r="N136" s="5">
        <f t="shared" si="149"/>
        <v>45883.925000000003</v>
      </c>
      <c r="R136" s="5">
        <f t="shared" si="150"/>
        <v>47260.442750000002</v>
      </c>
      <c r="V136" s="5">
        <f t="shared" si="151"/>
        <v>48678.256032500001</v>
      </c>
    </row>
    <row r="137" spans="1:24" hidden="1" x14ac:dyDescent="0.25">
      <c r="A137" s="119" t="s">
        <v>266</v>
      </c>
      <c r="C137" s="2">
        <v>0</v>
      </c>
      <c r="J137" s="5">
        <f t="shared" si="148"/>
        <v>44547.5</v>
      </c>
      <c r="N137" s="5">
        <f t="shared" si="149"/>
        <v>45883.925000000003</v>
      </c>
      <c r="R137" s="5">
        <f t="shared" si="150"/>
        <v>47260.442750000002</v>
      </c>
      <c r="V137" s="5">
        <f t="shared" si="151"/>
        <v>48678.256032500001</v>
      </c>
    </row>
    <row r="138" spans="1:24" hidden="1" x14ac:dyDescent="0.25">
      <c r="A138" s="119" t="s">
        <v>266</v>
      </c>
      <c r="C138" s="2">
        <v>0</v>
      </c>
      <c r="J138" s="5">
        <f t="shared" si="148"/>
        <v>44547.5</v>
      </c>
      <c r="N138" s="5">
        <f t="shared" si="149"/>
        <v>45883.925000000003</v>
      </c>
      <c r="R138" s="5">
        <f t="shared" si="150"/>
        <v>47260.442750000002</v>
      </c>
      <c r="V138" s="5">
        <f t="shared" si="151"/>
        <v>48678.256032500001</v>
      </c>
    </row>
    <row r="139" spans="1:24" hidden="1" x14ac:dyDescent="0.25">
      <c r="A139" s="119" t="s">
        <v>266</v>
      </c>
      <c r="C139" s="2">
        <v>0</v>
      </c>
      <c r="J139" s="5">
        <f t="shared" si="148"/>
        <v>44547.5</v>
      </c>
      <c r="N139" s="5">
        <f t="shared" si="149"/>
        <v>45883.925000000003</v>
      </c>
      <c r="R139" s="5">
        <f t="shared" si="150"/>
        <v>47260.442750000002</v>
      </c>
      <c r="V139" s="5">
        <f t="shared" si="151"/>
        <v>48678.256032500001</v>
      </c>
    </row>
    <row r="140" spans="1:24" hidden="1" x14ac:dyDescent="0.25">
      <c r="A140" s="119" t="s">
        <v>266</v>
      </c>
      <c r="C140" s="2">
        <v>0</v>
      </c>
      <c r="J140" s="5">
        <f t="shared" si="148"/>
        <v>44547.5</v>
      </c>
      <c r="N140" s="5">
        <f t="shared" si="149"/>
        <v>45883.925000000003</v>
      </c>
      <c r="R140" s="5">
        <f t="shared" si="150"/>
        <v>47260.442750000002</v>
      </c>
      <c r="V140" s="5">
        <f t="shared" si="151"/>
        <v>48678.256032500001</v>
      </c>
    </row>
    <row r="141" spans="1:24" hidden="1" x14ac:dyDescent="0.25">
      <c r="A141" s="119" t="s">
        <v>266</v>
      </c>
      <c r="C141" s="2">
        <v>0</v>
      </c>
      <c r="J141" s="5">
        <f t="shared" si="148"/>
        <v>44547.5</v>
      </c>
      <c r="N141" s="5">
        <f t="shared" si="149"/>
        <v>45883.925000000003</v>
      </c>
      <c r="R141" s="5">
        <f t="shared" si="150"/>
        <v>47260.442750000002</v>
      </c>
      <c r="V141" s="5">
        <f t="shared" si="151"/>
        <v>48678.256032500001</v>
      </c>
    </row>
    <row r="142" spans="1:24" hidden="1" x14ac:dyDescent="0.25">
      <c r="A142" s="119" t="s">
        <v>266</v>
      </c>
      <c r="C142" s="2">
        <v>0</v>
      </c>
      <c r="J142" s="5">
        <f t="shared" si="148"/>
        <v>44547.5</v>
      </c>
      <c r="N142" s="5">
        <f t="shared" si="149"/>
        <v>45883.925000000003</v>
      </c>
      <c r="R142" s="5">
        <f t="shared" si="150"/>
        <v>47260.442750000002</v>
      </c>
      <c r="V142" s="5">
        <f t="shared" si="151"/>
        <v>48678.256032500001</v>
      </c>
    </row>
    <row r="143" spans="1:24" hidden="1" x14ac:dyDescent="0.25">
      <c r="A143" s="119" t="s">
        <v>266</v>
      </c>
      <c r="C143" s="2">
        <v>0</v>
      </c>
      <c r="J143" s="5">
        <f t="shared" si="148"/>
        <v>44547.5</v>
      </c>
      <c r="N143" s="5">
        <f t="shared" si="149"/>
        <v>45883.925000000003</v>
      </c>
      <c r="R143" s="5">
        <f t="shared" si="150"/>
        <v>47260.442750000002</v>
      </c>
      <c r="V143" s="5">
        <f t="shared" si="151"/>
        <v>48678.256032500001</v>
      </c>
    </row>
    <row r="144" spans="1:24" hidden="1" x14ac:dyDescent="0.25">
      <c r="C144" s="2">
        <v>0</v>
      </c>
      <c r="J144" s="5">
        <f t="shared" si="148"/>
        <v>44547.5</v>
      </c>
      <c r="N144" s="5">
        <f t="shared" si="149"/>
        <v>45883.925000000003</v>
      </c>
      <c r="R144" s="5">
        <f t="shared" si="150"/>
        <v>47260.442750000002</v>
      </c>
      <c r="V144" s="5">
        <f t="shared" si="151"/>
        <v>48678.256032500001</v>
      </c>
    </row>
    <row r="145" spans="3:22" hidden="1" x14ac:dyDescent="0.25">
      <c r="C145" s="2">
        <v>0</v>
      </c>
      <c r="J145" s="5">
        <f t="shared" si="148"/>
        <v>44547.5</v>
      </c>
      <c r="N145" s="5">
        <f t="shared" si="149"/>
        <v>45883.925000000003</v>
      </c>
      <c r="R145" s="5">
        <f t="shared" si="150"/>
        <v>47260.442750000002</v>
      </c>
      <c r="V145" s="5">
        <f t="shared" si="151"/>
        <v>48678.256032500001</v>
      </c>
    </row>
    <row r="146" spans="3:22" hidden="1" x14ac:dyDescent="0.25">
      <c r="C146" s="2">
        <v>0</v>
      </c>
      <c r="J146" s="5">
        <f t="shared" si="148"/>
        <v>44547.5</v>
      </c>
      <c r="N146" s="5">
        <f t="shared" si="149"/>
        <v>45883.925000000003</v>
      </c>
      <c r="R146" s="5">
        <f t="shared" si="150"/>
        <v>47260.442750000002</v>
      </c>
      <c r="V146" s="5">
        <f t="shared" si="151"/>
        <v>48678.256032500001</v>
      </c>
    </row>
    <row r="147" spans="3:22" hidden="1" x14ac:dyDescent="0.25">
      <c r="C147" s="2">
        <v>0</v>
      </c>
      <c r="J147" s="5">
        <f t="shared" si="148"/>
        <v>44547.5</v>
      </c>
      <c r="N147" s="5">
        <f t="shared" si="149"/>
        <v>45883.925000000003</v>
      </c>
      <c r="R147" s="5">
        <f t="shared" si="150"/>
        <v>47260.442750000002</v>
      </c>
      <c r="V147" s="5">
        <f t="shared" si="151"/>
        <v>48678.256032500001</v>
      </c>
    </row>
    <row r="148" spans="3:22" hidden="1" x14ac:dyDescent="0.25">
      <c r="C148" s="2">
        <v>0</v>
      </c>
      <c r="J148" s="5">
        <f t="shared" si="148"/>
        <v>44547.5</v>
      </c>
      <c r="N148" s="5">
        <f t="shared" si="149"/>
        <v>45883.925000000003</v>
      </c>
      <c r="R148" s="5">
        <f t="shared" si="150"/>
        <v>47260.442750000002</v>
      </c>
      <c r="V148" s="5">
        <f t="shared" si="151"/>
        <v>48678.256032500001</v>
      </c>
    </row>
    <row r="149" spans="3:22" hidden="1" x14ac:dyDescent="0.25">
      <c r="C149" s="2">
        <v>0</v>
      </c>
      <c r="J149" s="5">
        <f t="shared" si="148"/>
        <v>44547.5</v>
      </c>
      <c r="N149" s="5">
        <f t="shared" si="149"/>
        <v>45883.925000000003</v>
      </c>
      <c r="R149" s="5">
        <f t="shared" si="150"/>
        <v>47260.442750000002</v>
      </c>
      <c r="V149" s="5">
        <f t="shared" si="151"/>
        <v>48678.256032500001</v>
      </c>
    </row>
    <row r="150" spans="3:22" hidden="1" x14ac:dyDescent="0.25">
      <c r="C150" s="2">
        <v>0</v>
      </c>
      <c r="J150" s="5">
        <f t="shared" si="148"/>
        <v>44547.5</v>
      </c>
      <c r="N150" s="5">
        <f t="shared" si="149"/>
        <v>45883.925000000003</v>
      </c>
      <c r="R150" s="5">
        <f t="shared" si="150"/>
        <v>47260.442750000002</v>
      </c>
      <c r="V150" s="5">
        <f t="shared" si="151"/>
        <v>48678.256032500001</v>
      </c>
    </row>
    <row r="151" spans="3:22" hidden="1" x14ac:dyDescent="0.25">
      <c r="C151" s="2">
        <v>0</v>
      </c>
      <c r="J151" s="5">
        <f t="shared" si="148"/>
        <v>44547.5</v>
      </c>
      <c r="N151" s="5">
        <f t="shared" si="149"/>
        <v>45883.925000000003</v>
      </c>
      <c r="R151" s="5">
        <f t="shared" si="150"/>
        <v>47260.442750000002</v>
      </c>
      <c r="V151" s="5">
        <f t="shared" si="151"/>
        <v>48678.256032500001</v>
      </c>
    </row>
    <row r="152" spans="3:22" hidden="1" x14ac:dyDescent="0.25">
      <c r="C152" s="2">
        <v>0</v>
      </c>
      <c r="J152" s="5">
        <f t="shared" si="148"/>
        <v>44547.5</v>
      </c>
      <c r="N152" s="5">
        <f t="shared" si="149"/>
        <v>45883.925000000003</v>
      </c>
      <c r="R152" s="5">
        <f t="shared" si="150"/>
        <v>47260.442750000002</v>
      </c>
      <c r="V152" s="5">
        <f t="shared" si="151"/>
        <v>48678.256032500001</v>
      </c>
    </row>
    <row r="153" spans="3:22" hidden="1" x14ac:dyDescent="0.25">
      <c r="C153" s="2">
        <v>0</v>
      </c>
      <c r="J153" s="5">
        <f t="shared" si="148"/>
        <v>44547.5</v>
      </c>
      <c r="N153" s="5">
        <f t="shared" si="149"/>
        <v>45883.925000000003</v>
      </c>
      <c r="R153" s="5">
        <f t="shared" si="150"/>
        <v>47260.442750000002</v>
      </c>
      <c r="V153" s="5">
        <f t="shared" si="151"/>
        <v>48678.256032500001</v>
      </c>
    </row>
    <row r="154" spans="3:22" hidden="1" x14ac:dyDescent="0.25">
      <c r="C154" s="2">
        <v>0</v>
      </c>
      <c r="J154" s="5">
        <f t="shared" si="148"/>
        <v>44547.5</v>
      </c>
      <c r="N154" s="5">
        <f t="shared" si="149"/>
        <v>45883.925000000003</v>
      </c>
      <c r="R154" s="5">
        <f t="shared" si="150"/>
        <v>47260.442750000002</v>
      </c>
      <c r="V154" s="5">
        <f t="shared" si="151"/>
        <v>48678.256032500001</v>
      </c>
    </row>
    <row r="155" spans="3:22" hidden="1" x14ac:dyDescent="0.25">
      <c r="C155" s="2">
        <v>0</v>
      </c>
      <c r="J155" s="5">
        <f t="shared" si="148"/>
        <v>44547.5</v>
      </c>
      <c r="N155" s="5">
        <f t="shared" si="149"/>
        <v>45883.925000000003</v>
      </c>
      <c r="R155" s="5">
        <f t="shared" si="150"/>
        <v>47260.442750000002</v>
      </c>
      <c r="V155" s="5">
        <f t="shared" si="151"/>
        <v>48678.256032500001</v>
      </c>
    </row>
    <row r="156" spans="3:22" hidden="1" x14ac:dyDescent="0.25">
      <c r="C156" s="2">
        <v>0</v>
      </c>
      <c r="J156" s="5">
        <f t="shared" si="148"/>
        <v>44547.5</v>
      </c>
      <c r="N156" s="5">
        <f t="shared" si="149"/>
        <v>45883.925000000003</v>
      </c>
      <c r="R156" s="5">
        <f t="shared" si="150"/>
        <v>47260.442750000002</v>
      </c>
      <c r="V156" s="5">
        <f t="shared" si="151"/>
        <v>48678.256032500001</v>
      </c>
    </row>
    <row r="157" spans="3:22" hidden="1" x14ac:dyDescent="0.25">
      <c r="C157" s="2">
        <v>0</v>
      </c>
      <c r="J157" s="5">
        <f t="shared" si="148"/>
        <v>44547.5</v>
      </c>
      <c r="N157" s="5">
        <f t="shared" si="149"/>
        <v>45883.925000000003</v>
      </c>
      <c r="R157" s="5">
        <f t="shared" si="150"/>
        <v>47260.442750000002</v>
      </c>
      <c r="V157" s="5">
        <f t="shared" si="151"/>
        <v>48678.256032500001</v>
      </c>
    </row>
    <row r="158" spans="3:22" hidden="1" x14ac:dyDescent="0.25">
      <c r="C158" s="2">
        <v>0</v>
      </c>
      <c r="J158" s="5">
        <f t="shared" si="148"/>
        <v>44547.5</v>
      </c>
      <c r="N158" s="5">
        <f t="shared" si="149"/>
        <v>45883.925000000003</v>
      </c>
      <c r="R158" s="5">
        <f t="shared" si="150"/>
        <v>47260.442750000002</v>
      </c>
      <c r="V158" s="5">
        <f t="shared" si="151"/>
        <v>48678.256032500001</v>
      </c>
    </row>
    <row r="159" spans="3:22" hidden="1" x14ac:dyDescent="0.25">
      <c r="C159" s="2">
        <v>0</v>
      </c>
      <c r="J159" s="5">
        <f t="shared" si="148"/>
        <v>44547.5</v>
      </c>
      <c r="N159" s="5">
        <f t="shared" si="149"/>
        <v>45883.925000000003</v>
      </c>
      <c r="R159" s="5">
        <f t="shared" si="150"/>
        <v>47260.442750000002</v>
      </c>
      <c r="V159" s="5">
        <f t="shared" si="151"/>
        <v>48678.256032500001</v>
      </c>
    </row>
    <row r="160" spans="3:22" hidden="1" x14ac:dyDescent="0.25">
      <c r="C160" s="2">
        <v>0</v>
      </c>
      <c r="J160" s="5">
        <f t="shared" si="148"/>
        <v>44547.5</v>
      </c>
      <c r="N160" s="5">
        <f t="shared" si="149"/>
        <v>45883.925000000003</v>
      </c>
      <c r="R160" s="5">
        <f t="shared" si="150"/>
        <v>47260.442750000002</v>
      </c>
      <c r="V160" s="5">
        <f t="shared" si="151"/>
        <v>48678.256032500001</v>
      </c>
    </row>
    <row r="161" spans="3:22" hidden="1" x14ac:dyDescent="0.25">
      <c r="C161" s="2">
        <v>0</v>
      </c>
      <c r="J161" s="5">
        <f t="shared" si="148"/>
        <v>44547.5</v>
      </c>
      <c r="N161" s="5">
        <f t="shared" si="149"/>
        <v>45883.925000000003</v>
      </c>
      <c r="R161" s="5">
        <f t="shared" si="150"/>
        <v>47260.442750000002</v>
      </c>
      <c r="V161" s="5">
        <f t="shared" si="151"/>
        <v>48678.256032500001</v>
      </c>
    </row>
    <row r="162" spans="3:22" hidden="1" x14ac:dyDescent="0.25">
      <c r="C162" s="2">
        <v>0</v>
      </c>
      <c r="J162" s="5">
        <f t="shared" si="148"/>
        <v>44547.5</v>
      </c>
      <c r="N162" s="5">
        <f t="shared" si="149"/>
        <v>45883.925000000003</v>
      </c>
      <c r="R162" s="5">
        <f t="shared" si="150"/>
        <v>47260.442750000002</v>
      </c>
      <c r="V162" s="5">
        <f t="shared" si="151"/>
        <v>48678.256032500001</v>
      </c>
    </row>
    <row r="163" spans="3:22" hidden="1" x14ac:dyDescent="0.25">
      <c r="C163" s="2">
        <v>0</v>
      </c>
      <c r="J163" s="5">
        <f t="shared" si="148"/>
        <v>44547.5</v>
      </c>
      <c r="N163" s="5">
        <f t="shared" si="149"/>
        <v>45883.925000000003</v>
      </c>
      <c r="R163" s="5">
        <f t="shared" si="150"/>
        <v>47260.442750000002</v>
      </c>
      <c r="V163" s="5">
        <f t="shared" si="151"/>
        <v>48678.256032500001</v>
      </c>
    </row>
    <row r="164" spans="3:22" hidden="1" x14ac:dyDescent="0.25">
      <c r="C164" s="2">
        <v>0</v>
      </c>
      <c r="J164" s="5">
        <f t="shared" si="148"/>
        <v>44547.5</v>
      </c>
      <c r="N164" s="5">
        <f t="shared" si="149"/>
        <v>45883.925000000003</v>
      </c>
      <c r="R164" s="5">
        <f t="shared" si="150"/>
        <v>47260.442750000002</v>
      </c>
      <c r="V164" s="5">
        <f t="shared" si="151"/>
        <v>48678.256032500001</v>
      </c>
    </row>
    <row r="165" spans="3:22" hidden="1" x14ac:dyDescent="0.25">
      <c r="C165" s="2">
        <v>0</v>
      </c>
      <c r="J165" s="5">
        <f t="shared" si="148"/>
        <v>44547.5</v>
      </c>
      <c r="N165" s="5">
        <f t="shared" si="149"/>
        <v>45883.925000000003</v>
      </c>
      <c r="R165" s="5">
        <f t="shared" si="150"/>
        <v>47260.442750000002</v>
      </c>
      <c r="V165" s="5">
        <f t="shared" si="151"/>
        <v>48678.256032500001</v>
      </c>
    </row>
    <row r="166" spans="3:22" hidden="1" x14ac:dyDescent="0.25">
      <c r="C166" s="2">
        <v>0</v>
      </c>
      <c r="J166" s="5">
        <f t="shared" si="148"/>
        <v>44547.5</v>
      </c>
      <c r="N166" s="5">
        <f t="shared" si="149"/>
        <v>45883.925000000003</v>
      </c>
      <c r="R166" s="5">
        <f t="shared" si="150"/>
        <v>47260.442750000002</v>
      </c>
      <c r="V166" s="5">
        <f t="shared" si="151"/>
        <v>48678.256032500001</v>
      </c>
    </row>
    <row r="167" spans="3:22" hidden="1" x14ac:dyDescent="0.25">
      <c r="C167" s="2">
        <v>0</v>
      </c>
      <c r="J167" s="5">
        <f t="shared" si="148"/>
        <v>44547.5</v>
      </c>
      <c r="N167" s="5">
        <f t="shared" si="149"/>
        <v>45883.925000000003</v>
      </c>
      <c r="R167" s="5">
        <f t="shared" si="150"/>
        <v>47260.442750000002</v>
      </c>
      <c r="V167" s="5">
        <f t="shared" si="151"/>
        <v>48678.256032500001</v>
      </c>
    </row>
    <row r="168" spans="3:22" hidden="1" x14ac:dyDescent="0.25">
      <c r="C168" s="2">
        <v>0</v>
      </c>
      <c r="J168" s="5">
        <f t="shared" si="148"/>
        <v>44547.5</v>
      </c>
      <c r="N168" s="5">
        <f t="shared" si="149"/>
        <v>45883.925000000003</v>
      </c>
      <c r="R168" s="5">
        <f t="shared" si="150"/>
        <v>47260.442750000002</v>
      </c>
      <c r="V168" s="5">
        <f t="shared" si="151"/>
        <v>48678.256032500001</v>
      </c>
    </row>
    <row r="169" spans="3:22" hidden="1" x14ac:dyDescent="0.25">
      <c r="C169" s="2">
        <v>0</v>
      </c>
      <c r="J169" s="5">
        <f t="shared" si="148"/>
        <v>44547.5</v>
      </c>
      <c r="N169" s="5">
        <f t="shared" si="149"/>
        <v>45883.925000000003</v>
      </c>
      <c r="R169" s="5">
        <f t="shared" si="150"/>
        <v>47260.442750000002</v>
      </c>
      <c r="V169" s="5">
        <f t="shared" si="151"/>
        <v>48678.256032500001</v>
      </c>
    </row>
    <row r="170" spans="3:22" hidden="1" x14ac:dyDescent="0.25">
      <c r="C170" s="2">
        <v>0</v>
      </c>
      <c r="J170" s="5">
        <f t="shared" si="148"/>
        <v>44547.5</v>
      </c>
      <c r="N170" s="5">
        <f t="shared" si="149"/>
        <v>45883.925000000003</v>
      </c>
      <c r="R170" s="5">
        <f t="shared" si="150"/>
        <v>47260.442750000002</v>
      </c>
      <c r="V170" s="5">
        <f t="shared" si="151"/>
        <v>48678.256032500001</v>
      </c>
    </row>
    <row r="171" spans="3:22" hidden="1" x14ac:dyDescent="0.25"/>
    <row r="172" spans="3:22" hidden="1" x14ac:dyDescent="0.25"/>
    <row r="173" spans="3:22" hidden="1" x14ac:dyDescent="0.25"/>
    <row r="174" spans="3:22" hidden="1" x14ac:dyDescent="0.25"/>
    <row r="175" spans="3:22" hidden="1" x14ac:dyDescent="0.25"/>
    <row r="176" spans="3:22" hidden="1" x14ac:dyDescent="0.25"/>
    <row r="177" hidden="1" x14ac:dyDescent="0.25"/>
    <row r="178" hidden="1" x14ac:dyDescent="0.25"/>
    <row r="179" hidden="1" x14ac:dyDescent="0.25"/>
    <row r="180" hidden="1" x14ac:dyDescent="0.25"/>
    <row r="181" hidden="1" x14ac:dyDescent="0.25"/>
    <row r="182" hidden="1" x14ac:dyDescent="0.25"/>
    <row r="183" hidden="1" x14ac:dyDescent="0.25"/>
  </sheetData>
  <mergeCells count="5">
    <mergeCell ref="O6:R6"/>
    <mergeCell ref="S6:V6"/>
    <mergeCell ref="C7:F7"/>
    <mergeCell ref="E1:F1"/>
    <mergeCell ref="C6:F6"/>
  </mergeCells>
  <pageMargins left="0.7" right="0.7" top="0.75" bottom="0.75" header="0.3" footer="0.3"/>
  <pageSetup paperSize="9" orientation="portrait" horizontalDpi="4294967293"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B1CA-08B7-4F06-9A05-E4AC0EB37E70}">
  <dimension ref="A1:Z165"/>
  <sheetViews>
    <sheetView topLeftCell="B1" workbookViewId="0">
      <pane ySplit="8" topLeftCell="A9" activePane="bottomLeft" state="frozen"/>
      <selection pane="bottomLeft" activeCell="F4" sqref="F4"/>
    </sheetView>
  </sheetViews>
  <sheetFormatPr defaultRowHeight="15" x14ac:dyDescent="0.25"/>
  <cols>
    <col min="1" max="1" width="60.140625" customWidth="1"/>
    <col min="3" max="3" width="21" style="2" customWidth="1"/>
    <col min="4" max="4" width="18.28515625" customWidth="1"/>
    <col min="5" max="5" width="19.85546875" customWidth="1"/>
    <col min="6" max="6" width="14.140625" customWidth="1"/>
    <col min="7" max="7" width="9.85546875" customWidth="1"/>
    <col min="8" max="8" width="15" customWidth="1"/>
    <col min="9" max="9" width="9.140625" customWidth="1"/>
    <col min="10" max="10" width="15.28515625" customWidth="1"/>
    <col min="11" max="13" width="9.140625" hidden="1" customWidth="1"/>
    <col min="14" max="14" width="17.7109375" customWidth="1"/>
    <col min="15" max="17" width="9.140625" hidden="1" customWidth="1"/>
    <col min="18" max="18" width="16.5703125" customWidth="1"/>
    <col min="19" max="20" width="9.140625" hidden="1" customWidth="1"/>
    <col min="21" max="21" width="8.5703125" hidden="1" customWidth="1"/>
    <col min="22" max="22" width="18.140625" customWidth="1"/>
    <col min="23" max="25" width="0" hidden="1" customWidth="1"/>
  </cols>
  <sheetData>
    <row r="1" spans="1:26" ht="15.75" thickBot="1" x14ac:dyDescent="0.3">
      <c r="A1" s="1" t="s">
        <v>11</v>
      </c>
      <c r="E1" s="494" t="s">
        <v>9</v>
      </c>
      <c r="F1" s="495"/>
    </row>
    <row r="2" spans="1:26" x14ac:dyDescent="0.25">
      <c r="A2" s="118" t="s">
        <v>511</v>
      </c>
      <c r="E2" s="16" t="s">
        <v>3</v>
      </c>
      <c r="F2" s="17">
        <v>0</v>
      </c>
      <c r="G2" s="320">
        <f>F2+F3+100%</f>
        <v>1</v>
      </c>
      <c r="J2" s="319">
        <f>F2+F3+100%</f>
        <v>1</v>
      </c>
    </row>
    <row r="3" spans="1:26" x14ac:dyDescent="0.25">
      <c r="E3" s="22" t="s">
        <v>4</v>
      </c>
      <c r="F3" s="31">
        <v>0</v>
      </c>
      <c r="G3" s="1"/>
      <c r="J3" s="5"/>
      <c r="N3" s="174">
        <f>J3/F16</f>
        <v>0</v>
      </c>
    </row>
    <row r="4" spans="1:26" ht="15.75" thickBot="1" x14ac:dyDescent="0.3">
      <c r="A4" s="19"/>
      <c r="E4" s="18" t="s">
        <v>119</v>
      </c>
      <c r="F4" s="36">
        <v>1.03</v>
      </c>
    </row>
    <row r="5" spans="1:26" x14ac:dyDescent="0.25">
      <c r="A5" s="19" t="s">
        <v>512</v>
      </c>
      <c r="E5" s="125"/>
      <c r="F5" s="126"/>
    </row>
    <row r="6" spans="1:26" s="122" customFormat="1" ht="15.75" thickBot="1" x14ac:dyDescent="0.3">
      <c r="A6" s="122">
        <v>1</v>
      </c>
      <c r="B6" s="122">
        <v>2</v>
      </c>
      <c r="C6" s="122">
        <v>3</v>
      </c>
      <c r="D6" s="122">
        <v>4</v>
      </c>
      <c r="E6" s="122">
        <v>5</v>
      </c>
      <c r="F6" s="122">
        <v>6</v>
      </c>
      <c r="G6" s="122">
        <v>7</v>
      </c>
      <c r="H6" s="122">
        <v>8</v>
      </c>
      <c r="I6" s="122">
        <v>9</v>
      </c>
      <c r="J6" s="122">
        <v>10</v>
      </c>
      <c r="K6" s="122">
        <v>11</v>
      </c>
      <c r="L6" s="122">
        <v>12</v>
      </c>
      <c r="M6" s="122">
        <v>13</v>
      </c>
      <c r="N6" s="122">
        <v>14</v>
      </c>
      <c r="O6" s="122">
        <v>15</v>
      </c>
      <c r="P6" s="122">
        <v>16</v>
      </c>
      <c r="Q6" s="122">
        <v>17</v>
      </c>
      <c r="R6" s="122">
        <v>18</v>
      </c>
      <c r="S6" s="122">
        <v>19</v>
      </c>
      <c r="T6" s="122">
        <v>20</v>
      </c>
      <c r="U6" s="122">
        <v>21</v>
      </c>
      <c r="V6" s="122">
        <v>22</v>
      </c>
      <c r="W6" s="122">
        <v>23</v>
      </c>
      <c r="X6" s="122">
        <v>24</v>
      </c>
      <c r="Y6" s="122">
        <v>25</v>
      </c>
      <c r="Z6" s="122">
        <v>26</v>
      </c>
    </row>
    <row r="7" spans="1:26" x14ac:dyDescent="0.25">
      <c r="C7" s="488" t="s">
        <v>116</v>
      </c>
      <c r="D7" s="489"/>
      <c r="E7" s="489"/>
      <c r="F7" s="490"/>
      <c r="G7" s="488" t="s">
        <v>117</v>
      </c>
      <c r="H7" s="489"/>
      <c r="I7" s="489"/>
      <c r="J7" s="490"/>
      <c r="K7" s="488" t="s">
        <v>125</v>
      </c>
      <c r="L7" s="489"/>
      <c r="M7" s="489"/>
      <c r="N7" s="490"/>
      <c r="O7" s="488" t="s">
        <v>219</v>
      </c>
      <c r="P7" s="489"/>
      <c r="Q7" s="489"/>
      <c r="R7" s="490"/>
      <c r="S7" s="488" t="s">
        <v>351</v>
      </c>
      <c r="T7" s="489"/>
      <c r="U7" s="489"/>
      <c r="V7" s="490"/>
      <c r="W7" s="488" t="s">
        <v>513</v>
      </c>
      <c r="X7" s="489"/>
      <c r="Y7" s="489"/>
      <c r="Z7" s="490"/>
    </row>
    <row r="8" spans="1:26" x14ac:dyDescent="0.25">
      <c r="C8" s="491" t="s">
        <v>510</v>
      </c>
      <c r="D8" s="492"/>
      <c r="E8" s="492"/>
      <c r="F8" s="493"/>
      <c r="G8" s="123"/>
      <c r="H8" s="117"/>
      <c r="I8" s="117"/>
      <c r="J8" s="124"/>
      <c r="K8" s="123"/>
      <c r="L8" s="117"/>
      <c r="M8" s="117"/>
      <c r="N8" s="124"/>
      <c r="O8" s="123"/>
      <c r="P8" s="117"/>
      <c r="Q8" s="117"/>
      <c r="R8" s="124"/>
      <c r="S8" s="123"/>
      <c r="T8" s="117"/>
      <c r="U8" s="117"/>
      <c r="V8" s="124"/>
      <c r="W8" s="123"/>
      <c r="X8" s="117"/>
      <c r="Y8" s="117"/>
      <c r="Z8" s="124"/>
    </row>
    <row r="9" spans="1:26" ht="60.75" thickBot="1" x14ac:dyDescent="0.3">
      <c r="C9" s="32" t="s">
        <v>1</v>
      </c>
      <c r="D9" s="21" t="s">
        <v>7</v>
      </c>
      <c r="E9" s="21" t="s">
        <v>8</v>
      </c>
      <c r="F9" s="33" t="s">
        <v>118</v>
      </c>
      <c r="G9" s="32" t="s">
        <v>1</v>
      </c>
      <c r="H9" s="21" t="s">
        <v>7</v>
      </c>
      <c r="I9" s="21" t="s">
        <v>8</v>
      </c>
      <c r="J9" s="33" t="s">
        <v>118</v>
      </c>
      <c r="K9" s="32" t="s">
        <v>1</v>
      </c>
      <c r="L9" s="21" t="s">
        <v>7</v>
      </c>
      <c r="M9" s="21" t="s">
        <v>8</v>
      </c>
      <c r="N9" s="33" t="s">
        <v>118</v>
      </c>
      <c r="O9" s="32" t="s">
        <v>1</v>
      </c>
      <c r="P9" s="21" t="s">
        <v>7</v>
      </c>
      <c r="Q9" s="21" t="s">
        <v>8</v>
      </c>
      <c r="R9" s="33" t="s">
        <v>118</v>
      </c>
      <c r="S9" s="32" t="s">
        <v>1</v>
      </c>
      <c r="T9" s="21" t="s">
        <v>7</v>
      </c>
      <c r="U9" s="21" t="s">
        <v>8</v>
      </c>
      <c r="V9" s="33" t="s">
        <v>118</v>
      </c>
      <c r="W9" s="32" t="s">
        <v>1</v>
      </c>
      <c r="X9" s="21" t="s">
        <v>7</v>
      </c>
      <c r="Y9" s="21" t="s">
        <v>8</v>
      </c>
      <c r="Z9" s="33" t="s">
        <v>118</v>
      </c>
    </row>
    <row r="10" spans="1:26" ht="15.75" thickBot="1" x14ac:dyDescent="0.3">
      <c r="A10" s="20"/>
      <c r="B10" s="76" t="s">
        <v>0</v>
      </c>
      <c r="C10" s="75" t="s">
        <v>5</v>
      </c>
      <c r="D10" s="76" t="s">
        <v>5</v>
      </c>
      <c r="E10" s="76" t="s">
        <v>6</v>
      </c>
      <c r="F10" s="77" t="s">
        <v>6</v>
      </c>
      <c r="G10" s="75" t="s">
        <v>5</v>
      </c>
      <c r="H10" s="76" t="s">
        <v>5</v>
      </c>
      <c r="I10" s="76" t="s">
        <v>6</v>
      </c>
      <c r="J10" s="77" t="s">
        <v>6</v>
      </c>
      <c r="K10" s="75" t="s">
        <v>5</v>
      </c>
      <c r="L10" s="76" t="s">
        <v>5</v>
      </c>
      <c r="M10" s="76" t="s">
        <v>6</v>
      </c>
      <c r="N10" s="77" t="s">
        <v>6</v>
      </c>
      <c r="O10" s="75" t="s">
        <v>5</v>
      </c>
      <c r="P10" s="76" t="s">
        <v>5</v>
      </c>
      <c r="Q10" s="76" t="s">
        <v>6</v>
      </c>
      <c r="R10" s="77" t="s">
        <v>6</v>
      </c>
      <c r="S10" s="75" t="s">
        <v>5</v>
      </c>
      <c r="T10" s="76" t="s">
        <v>5</v>
      </c>
      <c r="U10" s="76" t="s">
        <v>6</v>
      </c>
      <c r="V10" s="77" t="s">
        <v>6</v>
      </c>
      <c r="W10" s="75" t="s">
        <v>5</v>
      </c>
      <c r="X10" s="76" t="s">
        <v>5</v>
      </c>
      <c r="Y10" s="76" t="s">
        <v>6</v>
      </c>
      <c r="Z10" s="77" t="s">
        <v>6</v>
      </c>
    </row>
    <row r="11" spans="1:26" x14ac:dyDescent="0.25">
      <c r="A11" s="26" t="s">
        <v>16</v>
      </c>
      <c r="B11" s="133">
        <v>1</v>
      </c>
      <c r="C11" s="316">
        <v>132302</v>
      </c>
      <c r="D11" s="28">
        <f t="shared" ref="D11:D96" si="0">C11*$F$2</f>
        <v>0</v>
      </c>
      <c r="E11" s="28">
        <f t="shared" ref="E11:E128" si="1">C11*$F$3</f>
        <v>0</v>
      </c>
      <c r="F11" s="29">
        <f t="shared" ref="F11:F66" si="2">SUM(C11:E11)</f>
        <v>132302</v>
      </c>
      <c r="G11" s="28">
        <f>C11*$F$4</f>
        <v>136271.06</v>
      </c>
      <c r="H11" s="28">
        <f t="shared" ref="H11:H96" si="3">G11*$F$2</f>
        <v>0</v>
      </c>
      <c r="I11" s="28">
        <f t="shared" ref="I11:I128" si="4">G11*$F$3</f>
        <v>0</v>
      </c>
      <c r="J11" s="28">
        <f t="shared" ref="J11:J66" si="5">SUM(G11:I11)</f>
        <v>136271.06</v>
      </c>
      <c r="K11" s="37">
        <f>G11*$F$4</f>
        <v>140359.1918</v>
      </c>
      <c r="L11" s="28">
        <f t="shared" ref="L11:L96" si="6">K11*$F$2</f>
        <v>0</v>
      </c>
      <c r="M11" s="28">
        <f t="shared" ref="M11:M128" si="7">K11*$F$3</f>
        <v>0</v>
      </c>
      <c r="N11" s="131">
        <f t="shared" ref="N11:N66" si="8">SUM(K11:M11)</f>
        <v>140359.1918</v>
      </c>
      <c r="O11" s="28">
        <f>K11*$F$4</f>
        <v>144569.967554</v>
      </c>
      <c r="P11" s="28">
        <f t="shared" ref="P11:P96" si="9">O11*$F$2</f>
        <v>0</v>
      </c>
      <c r="Q11" s="28">
        <f t="shared" ref="Q11:Q128" si="10">O11*$F$3</f>
        <v>0</v>
      </c>
      <c r="R11" s="28">
        <f t="shared" ref="R11:R66" si="11">SUM(O11:Q11)</f>
        <v>144569.967554</v>
      </c>
      <c r="S11" s="37">
        <f>O11*$F$4</f>
        <v>148907.06658062001</v>
      </c>
      <c r="T11" s="28">
        <f t="shared" ref="T11:T96" si="12">S11*$F$2</f>
        <v>0</v>
      </c>
      <c r="U11" s="28">
        <f t="shared" ref="U11:U128" si="13">S11*$F$3</f>
        <v>0</v>
      </c>
      <c r="V11" s="131">
        <f t="shared" ref="V11:V66" si="14">SUM(S11:U11)</f>
        <v>148907.06658062001</v>
      </c>
      <c r="W11" s="28">
        <f>S11*$F$4</f>
        <v>153374.27857803862</v>
      </c>
      <c r="X11" s="28">
        <f t="shared" ref="X11:X96" si="15">W11*$F$2</f>
        <v>0</v>
      </c>
      <c r="Y11" s="28">
        <f t="shared" ref="Y11:Y128" si="16">W11*$F$3</f>
        <v>0</v>
      </c>
      <c r="Z11" s="29">
        <f t="shared" ref="Z11:Z66" si="17">SUM(W11:Y11)</f>
        <v>153374.27857803862</v>
      </c>
    </row>
    <row r="12" spans="1:26" x14ac:dyDescent="0.25">
      <c r="A12" s="24" t="s">
        <v>17</v>
      </c>
      <c r="B12" s="134">
        <v>2</v>
      </c>
      <c r="C12" s="317">
        <v>139846</v>
      </c>
      <c r="D12" s="7">
        <f t="shared" si="0"/>
        <v>0</v>
      </c>
      <c r="E12" s="7">
        <f t="shared" si="1"/>
        <v>0</v>
      </c>
      <c r="F12" s="8">
        <f t="shared" si="2"/>
        <v>139846</v>
      </c>
      <c r="G12" s="7">
        <f t="shared" ref="G12:G129" si="18">C12*$F$4</f>
        <v>144041.38</v>
      </c>
      <c r="H12" s="7">
        <f t="shared" si="3"/>
        <v>0</v>
      </c>
      <c r="I12" s="7">
        <f t="shared" si="4"/>
        <v>0</v>
      </c>
      <c r="J12" s="7">
        <f t="shared" si="5"/>
        <v>144041.38</v>
      </c>
      <c r="K12" s="34">
        <f t="shared" ref="K12:K129" si="19">G12*$F$4</f>
        <v>148362.6214</v>
      </c>
      <c r="L12" s="7">
        <f t="shared" si="6"/>
        <v>0</v>
      </c>
      <c r="M12" s="7">
        <f t="shared" si="7"/>
        <v>0</v>
      </c>
      <c r="N12" s="132">
        <f t="shared" si="8"/>
        <v>148362.6214</v>
      </c>
      <c r="O12" s="7">
        <f t="shared" ref="O12:O129" si="20">K12*$F$4</f>
        <v>152813.500042</v>
      </c>
      <c r="P12" s="7">
        <f t="shared" si="9"/>
        <v>0</v>
      </c>
      <c r="Q12" s="7">
        <f t="shared" si="10"/>
        <v>0</v>
      </c>
      <c r="R12" s="7">
        <f t="shared" si="11"/>
        <v>152813.500042</v>
      </c>
      <c r="S12" s="34">
        <f t="shared" ref="S12:S129" si="21">O12*$F$4</f>
        <v>157397.90504325999</v>
      </c>
      <c r="T12" s="7">
        <f t="shared" si="12"/>
        <v>0</v>
      </c>
      <c r="U12" s="7">
        <f t="shared" si="13"/>
        <v>0</v>
      </c>
      <c r="V12" s="132">
        <f t="shared" si="14"/>
        <v>157397.90504325999</v>
      </c>
      <c r="W12" s="7">
        <f t="shared" ref="W12:W129" si="22">S12*$F$4</f>
        <v>162119.8421945578</v>
      </c>
      <c r="X12" s="7">
        <f t="shared" si="15"/>
        <v>0</v>
      </c>
      <c r="Y12" s="7">
        <f t="shared" si="16"/>
        <v>0</v>
      </c>
      <c r="Z12" s="8">
        <f t="shared" si="17"/>
        <v>162119.8421945578</v>
      </c>
    </row>
    <row r="13" spans="1:26" x14ac:dyDescent="0.25">
      <c r="A13" s="24" t="s">
        <v>18</v>
      </c>
      <c r="B13" s="134">
        <v>3</v>
      </c>
      <c r="C13" s="317">
        <v>147390</v>
      </c>
      <c r="D13" s="7">
        <f t="shared" si="0"/>
        <v>0</v>
      </c>
      <c r="E13" s="7">
        <f t="shared" si="1"/>
        <v>0</v>
      </c>
      <c r="F13" s="8">
        <f t="shared" si="2"/>
        <v>147390</v>
      </c>
      <c r="G13" s="7">
        <f t="shared" si="18"/>
        <v>151811.70000000001</v>
      </c>
      <c r="H13" s="7">
        <f t="shared" si="3"/>
        <v>0</v>
      </c>
      <c r="I13" s="7">
        <f t="shared" si="4"/>
        <v>0</v>
      </c>
      <c r="J13" s="7">
        <f t="shared" si="5"/>
        <v>151811.70000000001</v>
      </c>
      <c r="K13" s="34">
        <f t="shared" si="19"/>
        <v>156366.05100000001</v>
      </c>
      <c r="L13" s="7">
        <f t="shared" si="6"/>
        <v>0</v>
      </c>
      <c r="M13" s="7">
        <f t="shared" si="7"/>
        <v>0</v>
      </c>
      <c r="N13" s="132">
        <f t="shared" si="8"/>
        <v>156366.05100000001</v>
      </c>
      <c r="O13" s="7">
        <f t="shared" si="20"/>
        <v>161057.03253</v>
      </c>
      <c r="P13" s="7">
        <f t="shared" si="9"/>
        <v>0</v>
      </c>
      <c r="Q13" s="7">
        <f t="shared" si="10"/>
        <v>0</v>
      </c>
      <c r="R13" s="7">
        <f t="shared" si="11"/>
        <v>161057.03253</v>
      </c>
      <c r="S13" s="34">
        <f t="shared" si="21"/>
        <v>165888.7435059</v>
      </c>
      <c r="T13" s="7">
        <f t="shared" si="12"/>
        <v>0</v>
      </c>
      <c r="U13" s="7">
        <f t="shared" si="13"/>
        <v>0</v>
      </c>
      <c r="V13" s="132">
        <f t="shared" si="14"/>
        <v>165888.7435059</v>
      </c>
      <c r="W13" s="7">
        <f t="shared" si="22"/>
        <v>170865.40581107701</v>
      </c>
      <c r="X13" s="7">
        <f t="shared" si="15"/>
        <v>0</v>
      </c>
      <c r="Y13" s="7">
        <f t="shared" si="16"/>
        <v>0</v>
      </c>
      <c r="Z13" s="8">
        <f t="shared" si="17"/>
        <v>170865.40581107701</v>
      </c>
    </row>
    <row r="14" spans="1:26" x14ac:dyDescent="0.25">
      <c r="A14" s="24" t="s">
        <v>19</v>
      </c>
      <c r="B14" s="134">
        <v>4</v>
      </c>
      <c r="C14" s="317">
        <v>154934</v>
      </c>
      <c r="D14" s="7">
        <f t="shared" si="0"/>
        <v>0</v>
      </c>
      <c r="E14" s="7">
        <f t="shared" si="1"/>
        <v>0</v>
      </c>
      <c r="F14" s="8">
        <f t="shared" si="2"/>
        <v>154934</v>
      </c>
      <c r="G14" s="7">
        <f t="shared" si="18"/>
        <v>159582.02000000002</v>
      </c>
      <c r="H14" s="7">
        <f t="shared" si="3"/>
        <v>0</v>
      </c>
      <c r="I14" s="7">
        <f t="shared" si="4"/>
        <v>0</v>
      </c>
      <c r="J14" s="7">
        <f t="shared" si="5"/>
        <v>159582.02000000002</v>
      </c>
      <c r="K14" s="34">
        <f t="shared" si="19"/>
        <v>164369.48060000001</v>
      </c>
      <c r="L14" s="7">
        <f t="shared" si="6"/>
        <v>0</v>
      </c>
      <c r="M14" s="7">
        <f t="shared" si="7"/>
        <v>0</v>
      </c>
      <c r="N14" s="132">
        <f t="shared" si="8"/>
        <v>164369.48060000001</v>
      </c>
      <c r="O14" s="7">
        <f t="shared" si="20"/>
        <v>169300.56501800002</v>
      </c>
      <c r="P14" s="7">
        <f t="shared" si="9"/>
        <v>0</v>
      </c>
      <c r="Q14" s="7">
        <f t="shared" si="10"/>
        <v>0</v>
      </c>
      <c r="R14" s="7">
        <f t="shared" si="11"/>
        <v>169300.56501800002</v>
      </c>
      <c r="S14" s="34">
        <f t="shared" si="21"/>
        <v>174379.58196854003</v>
      </c>
      <c r="T14" s="7">
        <f t="shared" si="12"/>
        <v>0</v>
      </c>
      <c r="U14" s="7">
        <f t="shared" si="13"/>
        <v>0</v>
      </c>
      <c r="V14" s="132">
        <f t="shared" si="14"/>
        <v>174379.58196854003</v>
      </c>
      <c r="W14" s="7">
        <f t="shared" si="22"/>
        <v>179610.96942759625</v>
      </c>
      <c r="X14" s="7">
        <f t="shared" si="15"/>
        <v>0</v>
      </c>
      <c r="Y14" s="7">
        <f t="shared" si="16"/>
        <v>0</v>
      </c>
      <c r="Z14" s="8">
        <f t="shared" si="17"/>
        <v>179610.96942759625</v>
      </c>
    </row>
    <row r="15" spans="1:26" x14ac:dyDescent="0.25">
      <c r="A15" s="24" t="s">
        <v>20</v>
      </c>
      <c r="B15" s="134">
        <v>5</v>
      </c>
      <c r="C15" s="317">
        <v>162479</v>
      </c>
      <c r="D15" s="7">
        <f t="shared" si="0"/>
        <v>0</v>
      </c>
      <c r="E15" s="7">
        <f t="shared" si="1"/>
        <v>0</v>
      </c>
      <c r="F15" s="8">
        <f t="shared" si="2"/>
        <v>162479</v>
      </c>
      <c r="G15" s="7">
        <f t="shared" si="18"/>
        <v>167353.37</v>
      </c>
      <c r="H15" s="7">
        <f t="shared" si="3"/>
        <v>0</v>
      </c>
      <c r="I15" s="7">
        <f t="shared" si="4"/>
        <v>0</v>
      </c>
      <c r="J15" s="7">
        <f t="shared" si="5"/>
        <v>167353.37</v>
      </c>
      <c r="K15" s="34">
        <f t="shared" si="19"/>
        <v>172373.9711</v>
      </c>
      <c r="L15" s="7">
        <f t="shared" si="6"/>
        <v>0</v>
      </c>
      <c r="M15" s="7">
        <f t="shared" si="7"/>
        <v>0</v>
      </c>
      <c r="N15" s="132">
        <f t="shared" si="8"/>
        <v>172373.9711</v>
      </c>
      <c r="O15" s="7">
        <f t="shared" si="20"/>
        <v>177545.190233</v>
      </c>
      <c r="P15" s="7">
        <f t="shared" si="9"/>
        <v>0</v>
      </c>
      <c r="Q15" s="7">
        <f t="shared" si="10"/>
        <v>0</v>
      </c>
      <c r="R15" s="7">
        <f t="shared" si="11"/>
        <v>177545.190233</v>
      </c>
      <c r="S15" s="34">
        <f t="shared" si="21"/>
        <v>182871.54593999</v>
      </c>
      <c r="T15" s="7">
        <f t="shared" si="12"/>
        <v>0</v>
      </c>
      <c r="U15" s="7">
        <f t="shared" si="13"/>
        <v>0</v>
      </c>
      <c r="V15" s="132">
        <f t="shared" si="14"/>
        <v>182871.54593999</v>
      </c>
      <c r="W15" s="7">
        <f t="shared" si="22"/>
        <v>188357.69231818971</v>
      </c>
      <c r="X15" s="7">
        <f t="shared" si="15"/>
        <v>0</v>
      </c>
      <c r="Y15" s="7">
        <f t="shared" si="16"/>
        <v>0</v>
      </c>
      <c r="Z15" s="8">
        <f t="shared" si="17"/>
        <v>188357.69231818971</v>
      </c>
    </row>
    <row r="16" spans="1:26" x14ac:dyDescent="0.25">
      <c r="A16" s="24" t="s">
        <v>21</v>
      </c>
      <c r="B16" s="134">
        <v>6</v>
      </c>
      <c r="C16" s="317">
        <v>167261</v>
      </c>
      <c r="D16" s="7">
        <f t="shared" si="0"/>
        <v>0</v>
      </c>
      <c r="E16" s="7">
        <f t="shared" si="1"/>
        <v>0</v>
      </c>
      <c r="F16" s="8">
        <f t="shared" si="2"/>
        <v>167261</v>
      </c>
      <c r="G16" s="7">
        <f t="shared" si="18"/>
        <v>172278.83000000002</v>
      </c>
      <c r="H16" s="7">
        <f t="shared" si="3"/>
        <v>0</v>
      </c>
      <c r="I16" s="7">
        <f t="shared" si="4"/>
        <v>0</v>
      </c>
      <c r="J16" s="7">
        <f t="shared" si="5"/>
        <v>172278.83000000002</v>
      </c>
      <c r="K16" s="34">
        <f t="shared" si="19"/>
        <v>177447.19490000003</v>
      </c>
      <c r="L16" s="7">
        <f t="shared" si="6"/>
        <v>0</v>
      </c>
      <c r="M16" s="7">
        <f t="shared" si="7"/>
        <v>0</v>
      </c>
      <c r="N16" s="132">
        <f t="shared" si="8"/>
        <v>177447.19490000003</v>
      </c>
      <c r="O16" s="7">
        <f t="shared" si="20"/>
        <v>182770.61074700003</v>
      </c>
      <c r="P16" s="7">
        <f t="shared" si="9"/>
        <v>0</v>
      </c>
      <c r="Q16" s="7">
        <f t="shared" si="10"/>
        <v>0</v>
      </c>
      <c r="R16" s="7">
        <f t="shared" si="11"/>
        <v>182770.61074700003</v>
      </c>
      <c r="S16" s="34">
        <f t="shared" si="21"/>
        <v>188253.72906941004</v>
      </c>
      <c r="T16" s="7">
        <f t="shared" si="12"/>
        <v>0</v>
      </c>
      <c r="U16" s="7">
        <f t="shared" si="13"/>
        <v>0</v>
      </c>
      <c r="V16" s="132">
        <f t="shared" si="14"/>
        <v>188253.72906941004</v>
      </c>
      <c r="W16" s="7">
        <f t="shared" si="22"/>
        <v>193901.34094149235</v>
      </c>
      <c r="X16" s="7">
        <f t="shared" si="15"/>
        <v>0</v>
      </c>
      <c r="Y16" s="7">
        <f t="shared" si="16"/>
        <v>0</v>
      </c>
      <c r="Z16" s="8">
        <f t="shared" si="17"/>
        <v>193901.34094149235</v>
      </c>
    </row>
    <row r="17" spans="1:26" x14ac:dyDescent="0.25">
      <c r="A17" s="119" t="s">
        <v>266</v>
      </c>
      <c r="B17" s="134"/>
      <c r="C17" s="34">
        <v>0</v>
      </c>
      <c r="D17" s="7"/>
      <c r="E17" s="7"/>
      <c r="F17" s="8"/>
      <c r="G17" s="7"/>
      <c r="H17" s="7"/>
      <c r="I17" s="7"/>
      <c r="J17" s="7">
        <f>$J$16</f>
        <v>172278.83000000002</v>
      </c>
      <c r="K17" s="34">
        <v>163193.25357500004</v>
      </c>
      <c r="L17" s="7">
        <v>18032.854520037505</v>
      </c>
      <c r="M17" s="7">
        <v>16319.325357500005</v>
      </c>
      <c r="N17" s="132">
        <f>$N$16</f>
        <v>177447.19490000003</v>
      </c>
      <c r="O17" s="7">
        <v>166049.13551256256</v>
      </c>
      <c r="P17" s="7">
        <v>18348.429474138164</v>
      </c>
      <c r="Q17" s="7">
        <v>16604.913551256257</v>
      </c>
      <c r="R17" s="7">
        <f>$R$16</f>
        <v>182770.61074700003</v>
      </c>
      <c r="S17" s="34">
        <v>168954.9953840324</v>
      </c>
      <c r="T17" s="7">
        <v>18669.526989935581</v>
      </c>
      <c r="U17" s="7">
        <v>16895.499538403241</v>
      </c>
      <c r="V17" s="132">
        <f>$V$16</f>
        <v>188253.72906941004</v>
      </c>
      <c r="W17" s="7">
        <v>171911.70780325297</v>
      </c>
      <c r="X17" s="7">
        <v>18996.243712259453</v>
      </c>
      <c r="Y17" s="7">
        <v>17191.170780325298</v>
      </c>
      <c r="Z17" s="8">
        <f>$Z$16</f>
        <v>193901.34094149235</v>
      </c>
    </row>
    <row r="18" spans="1:26" x14ac:dyDescent="0.25">
      <c r="A18" s="119" t="s">
        <v>266</v>
      </c>
      <c r="B18" s="134"/>
      <c r="C18" s="34">
        <v>0</v>
      </c>
      <c r="D18" s="7"/>
      <c r="E18" s="7"/>
      <c r="F18" s="8"/>
      <c r="G18" s="7"/>
      <c r="H18" s="7"/>
      <c r="I18" s="7"/>
      <c r="J18" s="7">
        <f t="shared" ref="J18:J22" si="23">$J$16</f>
        <v>172278.83000000002</v>
      </c>
      <c r="K18" s="34">
        <v>163193.25357500004</v>
      </c>
      <c r="L18" s="7">
        <v>18032.854520037505</v>
      </c>
      <c r="M18" s="7">
        <v>16319.325357500005</v>
      </c>
      <c r="N18" s="132">
        <f t="shared" ref="N18:N22" si="24">$N$16</f>
        <v>177447.19490000003</v>
      </c>
      <c r="O18" s="7">
        <v>166049.13551256256</v>
      </c>
      <c r="P18" s="7">
        <v>18348.429474138164</v>
      </c>
      <c r="Q18" s="7">
        <v>16604.913551256257</v>
      </c>
      <c r="R18" s="7">
        <f t="shared" ref="R18:R22" si="25">$R$16</f>
        <v>182770.61074700003</v>
      </c>
      <c r="S18" s="34">
        <v>168954.9953840324</v>
      </c>
      <c r="T18" s="7">
        <v>18669.526989935581</v>
      </c>
      <c r="U18" s="7">
        <v>16895.499538403241</v>
      </c>
      <c r="V18" s="132">
        <f t="shared" ref="V18:V22" si="26">$V$16</f>
        <v>188253.72906941004</v>
      </c>
      <c r="W18" s="7">
        <v>171911.70780325297</v>
      </c>
      <c r="X18" s="7">
        <v>18996.243712259453</v>
      </c>
      <c r="Y18" s="7">
        <v>17191.170780325298</v>
      </c>
      <c r="Z18" s="8">
        <f t="shared" ref="Z18:Z22" si="27">$Z$16</f>
        <v>193901.34094149235</v>
      </c>
    </row>
    <row r="19" spans="1:26" x14ac:dyDescent="0.25">
      <c r="A19" s="119" t="s">
        <v>266</v>
      </c>
      <c r="B19" s="134"/>
      <c r="C19" s="34">
        <v>0</v>
      </c>
      <c r="D19" s="7"/>
      <c r="E19" s="7"/>
      <c r="F19" s="8"/>
      <c r="G19" s="7"/>
      <c r="H19" s="7"/>
      <c r="I19" s="7"/>
      <c r="J19" s="7">
        <f t="shared" si="23"/>
        <v>172278.83000000002</v>
      </c>
      <c r="K19" s="34">
        <v>163193.25357500004</v>
      </c>
      <c r="L19" s="7">
        <v>18032.854520037505</v>
      </c>
      <c r="M19" s="7">
        <v>16319.325357500005</v>
      </c>
      <c r="N19" s="132">
        <f t="shared" si="24"/>
        <v>177447.19490000003</v>
      </c>
      <c r="O19" s="7">
        <v>166049.13551256256</v>
      </c>
      <c r="P19" s="7">
        <v>18348.429474138164</v>
      </c>
      <c r="Q19" s="7">
        <v>16604.913551256257</v>
      </c>
      <c r="R19" s="7">
        <f t="shared" si="25"/>
        <v>182770.61074700003</v>
      </c>
      <c r="S19" s="34">
        <v>168954.9953840324</v>
      </c>
      <c r="T19" s="7">
        <v>18669.526989935581</v>
      </c>
      <c r="U19" s="7">
        <v>16895.499538403241</v>
      </c>
      <c r="V19" s="132">
        <f t="shared" si="26"/>
        <v>188253.72906941004</v>
      </c>
      <c r="W19" s="7">
        <v>171911.70780325297</v>
      </c>
      <c r="X19" s="7">
        <v>18996.243712259453</v>
      </c>
      <c r="Y19" s="7">
        <v>17191.170780325298</v>
      </c>
      <c r="Z19" s="8">
        <f t="shared" si="27"/>
        <v>193901.34094149235</v>
      </c>
    </row>
    <row r="20" spans="1:26" x14ac:dyDescent="0.25">
      <c r="A20" s="119" t="s">
        <v>266</v>
      </c>
      <c r="B20" s="134"/>
      <c r="C20" s="34">
        <v>0</v>
      </c>
      <c r="D20" s="7"/>
      <c r="E20" s="7"/>
      <c r="F20" s="8"/>
      <c r="G20" s="7"/>
      <c r="H20" s="7"/>
      <c r="I20" s="7"/>
      <c r="J20" s="7">
        <f t="shared" si="23"/>
        <v>172278.83000000002</v>
      </c>
      <c r="K20" s="34">
        <v>163193.25357500004</v>
      </c>
      <c r="L20" s="7">
        <v>18032.854520037505</v>
      </c>
      <c r="M20" s="7">
        <v>16319.325357500005</v>
      </c>
      <c r="N20" s="132">
        <f t="shared" si="24"/>
        <v>177447.19490000003</v>
      </c>
      <c r="O20" s="7">
        <v>166049.13551256256</v>
      </c>
      <c r="P20" s="7">
        <v>18348.429474138164</v>
      </c>
      <c r="Q20" s="7">
        <v>16604.913551256257</v>
      </c>
      <c r="R20" s="7">
        <f t="shared" si="25"/>
        <v>182770.61074700003</v>
      </c>
      <c r="S20" s="34">
        <v>168954.9953840324</v>
      </c>
      <c r="T20" s="7">
        <v>18669.526989935581</v>
      </c>
      <c r="U20" s="7">
        <v>16895.499538403241</v>
      </c>
      <c r="V20" s="132">
        <f t="shared" si="26"/>
        <v>188253.72906941004</v>
      </c>
      <c r="W20" s="7">
        <v>171911.70780325297</v>
      </c>
      <c r="X20" s="7">
        <v>18996.243712259453</v>
      </c>
      <c r="Y20" s="7">
        <v>17191.170780325298</v>
      </c>
      <c r="Z20" s="8">
        <f t="shared" si="27"/>
        <v>193901.34094149235</v>
      </c>
    </row>
    <row r="21" spans="1:26" x14ac:dyDescent="0.25">
      <c r="A21" s="119" t="s">
        <v>266</v>
      </c>
      <c r="B21" s="134"/>
      <c r="C21" s="34">
        <v>0</v>
      </c>
      <c r="D21" s="7"/>
      <c r="E21" s="7"/>
      <c r="F21" s="8"/>
      <c r="G21" s="7"/>
      <c r="H21" s="7"/>
      <c r="I21" s="7"/>
      <c r="J21" s="7">
        <f t="shared" si="23"/>
        <v>172278.83000000002</v>
      </c>
      <c r="K21" s="34">
        <v>163193.25357500004</v>
      </c>
      <c r="L21" s="7">
        <v>18032.854520037505</v>
      </c>
      <c r="M21" s="7">
        <v>16319.325357500005</v>
      </c>
      <c r="N21" s="132">
        <f t="shared" si="24"/>
        <v>177447.19490000003</v>
      </c>
      <c r="O21" s="7">
        <v>166049.13551256256</v>
      </c>
      <c r="P21" s="7">
        <v>18348.429474138164</v>
      </c>
      <c r="Q21" s="7">
        <v>16604.913551256257</v>
      </c>
      <c r="R21" s="7">
        <f t="shared" si="25"/>
        <v>182770.61074700003</v>
      </c>
      <c r="S21" s="34">
        <v>168954.9953840324</v>
      </c>
      <c r="T21" s="7">
        <v>18669.526989935581</v>
      </c>
      <c r="U21" s="7">
        <v>16895.499538403241</v>
      </c>
      <c r="V21" s="132">
        <f t="shared" si="26"/>
        <v>188253.72906941004</v>
      </c>
      <c r="W21" s="7">
        <v>171911.70780325297</v>
      </c>
      <c r="X21" s="7">
        <v>18996.243712259453</v>
      </c>
      <c r="Y21" s="7">
        <v>17191.170780325298</v>
      </c>
      <c r="Z21" s="8">
        <f t="shared" si="27"/>
        <v>193901.34094149235</v>
      </c>
    </row>
    <row r="22" spans="1:26" ht="15.75" thickBot="1" x14ac:dyDescent="0.3">
      <c r="A22" s="120" t="s">
        <v>266</v>
      </c>
      <c r="B22" s="135"/>
      <c r="C22" s="35">
        <v>0</v>
      </c>
      <c r="D22" s="10"/>
      <c r="E22" s="10"/>
      <c r="F22" s="11"/>
      <c r="G22" s="10"/>
      <c r="H22" s="10"/>
      <c r="I22" s="10"/>
      <c r="J22" s="7">
        <f t="shared" si="23"/>
        <v>172278.83000000002</v>
      </c>
      <c r="K22" s="35">
        <v>163193.25357500004</v>
      </c>
      <c r="L22" s="10">
        <v>18032.854520037505</v>
      </c>
      <c r="M22" s="10">
        <v>16319.325357500005</v>
      </c>
      <c r="N22" s="132">
        <f t="shared" si="24"/>
        <v>177447.19490000003</v>
      </c>
      <c r="O22" s="10">
        <v>166049.13551256256</v>
      </c>
      <c r="P22" s="10">
        <v>18348.429474138164</v>
      </c>
      <c r="Q22" s="10">
        <v>16604.913551256257</v>
      </c>
      <c r="R22" s="7">
        <f t="shared" si="25"/>
        <v>182770.61074700003</v>
      </c>
      <c r="S22" s="35">
        <v>168954.9953840324</v>
      </c>
      <c r="T22" s="10">
        <v>18669.526989935581</v>
      </c>
      <c r="U22" s="10">
        <v>16895.499538403241</v>
      </c>
      <c r="V22" s="132">
        <f t="shared" si="26"/>
        <v>188253.72906941004</v>
      </c>
      <c r="W22" s="10">
        <v>171911.70780325297</v>
      </c>
      <c r="X22" s="10">
        <v>18996.243712259453</v>
      </c>
      <c r="Y22" s="10">
        <v>17191.170780325298</v>
      </c>
      <c r="Z22" s="8">
        <f t="shared" si="27"/>
        <v>193901.34094149235</v>
      </c>
    </row>
    <row r="23" spans="1:26" x14ac:dyDescent="0.25">
      <c r="A23" s="24" t="s">
        <v>22</v>
      </c>
      <c r="B23" s="134">
        <v>1</v>
      </c>
      <c r="C23" s="317">
        <v>125686</v>
      </c>
      <c r="D23" s="7">
        <f t="shared" si="0"/>
        <v>0</v>
      </c>
      <c r="E23" s="7">
        <f t="shared" si="1"/>
        <v>0</v>
      </c>
      <c r="F23" s="8">
        <f t="shared" si="2"/>
        <v>125686</v>
      </c>
      <c r="G23" s="7">
        <f t="shared" si="18"/>
        <v>129456.58</v>
      </c>
      <c r="H23" s="7">
        <f t="shared" si="3"/>
        <v>0</v>
      </c>
      <c r="I23" s="7">
        <f t="shared" si="4"/>
        <v>0</v>
      </c>
      <c r="J23" s="7">
        <f t="shared" si="5"/>
        <v>129456.58</v>
      </c>
      <c r="K23" s="34">
        <f t="shared" si="19"/>
        <v>133340.27739999999</v>
      </c>
      <c r="L23" s="7">
        <f t="shared" si="6"/>
        <v>0</v>
      </c>
      <c r="M23" s="7">
        <f t="shared" si="7"/>
        <v>0</v>
      </c>
      <c r="N23" s="132">
        <f t="shared" si="8"/>
        <v>133340.27739999999</v>
      </c>
      <c r="O23" s="7">
        <f t="shared" si="20"/>
        <v>137340.48572199998</v>
      </c>
      <c r="P23" s="7">
        <f t="shared" si="9"/>
        <v>0</v>
      </c>
      <c r="Q23" s="7">
        <f t="shared" si="10"/>
        <v>0</v>
      </c>
      <c r="R23" s="7">
        <f t="shared" si="11"/>
        <v>137340.48572199998</v>
      </c>
      <c r="S23" s="34">
        <f t="shared" si="21"/>
        <v>141460.70029365999</v>
      </c>
      <c r="T23" s="7">
        <f t="shared" si="12"/>
        <v>0</v>
      </c>
      <c r="U23" s="7">
        <f t="shared" si="13"/>
        <v>0</v>
      </c>
      <c r="V23" s="132">
        <f t="shared" si="14"/>
        <v>141460.70029365999</v>
      </c>
      <c r="W23" s="7">
        <f t="shared" si="22"/>
        <v>145704.5213024698</v>
      </c>
      <c r="X23" s="7">
        <f t="shared" si="15"/>
        <v>0</v>
      </c>
      <c r="Y23" s="7">
        <f t="shared" si="16"/>
        <v>0</v>
      </c>
      <c r="Z23" s="8">
        <f t="shared" si="17"/>
        <v>145704.5213024698</v>
      </c>
    </row>
    <row r="24" spans="1:26" x14ac:dyDescent="0.25">
      <c r="A24" s="24" t="s">
        <v>23</v>
      </c>
      <c r="B24" s="134">
        <v>2</v>
      </c>
      <c r="C24" s="317">
        <v>132855</v>
      </c>
      <c r="D24" s="7">
        <f t="shared" si="0"/>
        <v>0</v>
      </c>
      <c r="E24" s="7">
        <f t="shared" si="1"/>
        <v>0</v>
      </c>
      <c r="F24" s="8">
        <f t="shared" si="2"/>
        <v>132855</v>
      </c>
      <c r="G24" s="7">
        <f t="shared" si="18"/>
        <v>136840.65</v>
      </c>
      <c r="H24" s="7">
        <f t="shared" si="3"/>
        <v>0</v>
      </c>
      <c r="I24" s="7">
        <f t="shared" si="4"/>
        <v>0</v>
      </c>
      <c r="J24" s="7">
        <f t="shared" si="5"/>
        <v>136840.65</v>
      </c>
      <c r="K24" s="34">
        <f t="shared" si="19"/>
        <v>140945.8695</v>
      </c>
      <c r="L24" s="7">
        <f t="shared" si="6"/>
        <v>0</v>
      </c>
      <c r="M24" s="7">
        <f t="shared" si="7"/>
        <v>0</v>
      </c>
      <c r="N24" s="132">
        <f t="shared" si="8"/>
        <v>140945.8695</v>
      </c>
      <c r="O24" s="7">
        <f t="shared" si="20"/>
        <v>145174.245585</v>
      </c>
      <c r="P24" s="7">
        <f t="shared" si="9"/>
        <v>0</v>
      </c>
      <c r="Q24" s="7">
        <f t="shared" si="10"/>
        <v>0</v>
      </c>
      <c r="R24" s="7">
        <f t="shared" si="11"/>
        <v>145174.245585</v>
      </c>
      <c r="S24" s="34">
        <f t="shared" si="21"/>
        <v>149529.47295255002</v>
      </c>
      <c r="T24" s="7">
        <f t="shared" si="12"/>
        <v>0</v>
      </c>
      <c r="U24" s="7">
        <f t="shared" si="13"/>
        <v>0</v>
      </c>
      <c r="V24" s="132">
        <f t="shared" si="14"/>
        <v>149529.47295255002</v>
      </c>
      <c r="W24" s="7">
        <f t="shared" si="22"/>
        <v>154015.35714112653</v>
      </c>
      <c r="X24" s="7">
        <f t="shared" si="15"/>
        <v>0</v>
      </c>
      <c r="Y24" s="7">
        <f t="shared" si="16"/>
        <v>0</v>
      </c>
      <c r="Z24" s="8">
        <f t="shared" si="17"/>
        <v>154015.35714112653</v>
      </c>
    </row>
    <row r="25" spans="1:26" x14ac:dyDescent="0.25">
      <c r="A25" s="24" t="s">
        <v>24</v>
      </c>
      <c r="B25" s="134">
        <v>3</v>
      </c>
      <c r="C25" s="317">
        <v>140021</v>
      </c>
      <c r="D25" s="7">
        <f t="shared" si="0"/>
        <v>0</v>
      </c>
      <c r="E25" s="7">
        <f t="shared" si="1"/>
        <v>0</v>
      </c>
      <c r="F25" s="8">
        <f t="shared" si="2"/>
        <v>140021</v>
      </c>
      <c r="G25" s="7">
        <f t="shared" si="18"/>
        <v>144221.63</v>
      </c>
      <c r="H25" s="7">
        <f t="shared" si="3"/>
        <v>0</v>
      </c>
      <c r="I25" s="7">
        <f t="shared" si="4"/>
        <v>0</v>
      </c>
      <c r="J25" s="7">
        <f t="shared" si="5"/>
        <v>144221.63</v>
      </c>
      <c r="K25" s="34">
        <f t="shared" si="19"/>
        <v>148548.2789</v>
      </c>
      <c r="L25" s="7">
        <f t="shared" si="6"/>
        <v>0</v>
      </c>
      <c r="M25" s="7">
        <f t="shared" si="7"/>
        <v>0</v>
      </c>
      <c r="N25" s="132">
        <f t="shared" si="8"/>
        <v>148548.2789</v>
      </c>
      <c r="O25" s="7">
        <f t="shared" si="20"/>
        <v>153004.72726700001</v>
      </c>
      <c r="P25" s="7">
        <f t="shared" si="9"/>
        <v>0</v>
      </c>
      <c r="Q25" s="7">
        <f t="shared" si="10"/>
        <v>0</v>
      </c>
      <c r="R25" s="7">
        <f t="shared" si="11"/>
        <v>153004.72726700001</v>
      </c>
      <c r="S25" s="34">
        <f t="shared" si="21"/>
        <v>157594.86908501002</v>
      </c>
      <c r="T25" s="7">
        <f t="shared" si="12"/>
        <v>0</v>
      </c>
      <c r="U25" s="7">
        <f t="shared" si="13"/>
        <v>0</v>
      </c>
      <c r="V25" s="132">
        <f t="shared" si="14"/>
        <v>157594.86908501002</v>
      </c>
      <c r="W25" s="7">
        <f t="shared" si="22"/>
        <v>162322.71515756033</v>
      </c>
      <c r="X25" s="7">
        <f t="shared" si="15"/>
        <v>0</v>
      </c>
      <c r="Y25" s="7">
        <f t="shared" si="16"/>
        <v>0</v>
      </c>
      <c r="Z25" s="8">
        <f t="shared" si="17"/>
        <v>162322.71515756033</v>
      </c>
    </row>
    <row r="26" spans="1:26" x14ac:dyDescent="0.25">
      <c r="A26" s="24" t="s">
        <v>25</v>
      </c>
      <c r="B26" s="134">
        <v>4</v>
      </c>
      <c r="C26" s="317">
        <v>147188</v>
      </c>
      <c r="D26" s="7">
        <f t="shared" si="0"/>
        <v>0</v>
      </c>
      <c r="E26" s="7">
        <f t="shared" si="1"/>
        <v>0</v>
      </c>
      <c r="F26" s="8">
        <f t="shared" si="2"/>
        <v>147188</v>
      </c>
      <c r="G26" s="7">
        <f t="shared" si="18"/>
        <v>151603.64000000001</v>
      </c>
      <c r="H26" s="7">
        <f t="shared" si="3"/>
        <v>0</v>
      </c>
      <c r="I26" s="7">
        <f t="shared" si="4"/>
        <v>0</v>
      </c>
      <c r="J26" s="7">
        <f t="shared" si="5"/>
        <v>151603.64000000001</v>
      </c>
      <c r="K26" s="34">
        <f t="shared" si="19"/>
        <v>156151.74920000002</v>
      </c>
      <c r="L26" s="7">
        <f t="shared" si="6"/>
        <v>0</v>
      </c>
      <c r="M26" s="7">
        <f t="shared" si="7"/>
        <v>0</v>
      </c>
      <c r="N26" s="132">
        <f t="shared" si="8"/>
        <v>156151.74920000002</v>
      </c>
      <c r="O26" s="7">
        <f t="shared" si="20"/>
        <v>160836.30167600003</v>
      </c>
      <c r="P26" s="7">
        <f t="shared" si="9"/>
        <v>0</v>
      </c>
      <c r="Q26" s="7">
        <f t="shared" si="10"/>
        <v>0</v>
      </c>
      <c r="R26" s="7">
        <f t="shared" si="11"/>
        <v>160836.30167600003</v>
      </c>
      <c r="S26" s="34">
        <f t="shared" si="21"/>
        <v>165661.39072628005</v>
      </c>
      <c r="T26" s="7">
        <f t="shared" si="12"/>
        <v>0</v>
      </c>
      <c r="U26" s="7">
        <f t="shared" si="13"/>
        <v>0</v>
      </c>
      <c r="V26" s="132">
        <f t="shared" si="14"/>
        <v>165661.39072628005</v>
      </c>
      <c r="W26" s="7">
        <f t="shared" si="22"/>
        <v>170631.23244806845</v>
      </c>
      <c r="X26" s="7">
        <f t="shared" si="15"/>
        <v>0</v>
      </c>
      <c r="Y26" s="7">
        <f t="shared" si="16"/>
        <v>0</v>
      </c>
      <c r="Z26" s="8">
        <f t="shared" si="17"/>
        <v>170631.23244806845</v>
      </c>
    </row>
    <row r="27" spans="1:26" x14ac:dyDescent="0.25">
      <c r="A27" s="24" t="s">
        <v>26</v>
      </c>
      <c r="B27" s="134">
        <v>5</v>
      </c>
      <c r="C27" s="317">
        <v>154354</v>
      </c>
      <c r="D27" s="7">
        <f t="shared" si="0"/>
        <v>0</v>
      </c>
      <c r="E27" s="7">
        <f t="shared" si="1"/>
        <v>0</v>
      </c>
      <c r="F27" s="8">
        <f t="shared" si="2"/>
        <v>154354</v>
      </c>
      <c r="G27" s="7">
        <f t="shared" si="18"/>
        <v>158984.62</v>
      </c>
      <c r="H27" s="7">
        <f t="shared" si="3"/>
        <v>0</v>
      </c>
      <c r="I27" s="7">
        <f t="shared" si="4"/>
        <v>0</v>
      </c>
      <c r="J27" s="7">
        <f t="shared" si="5"/>
        <v>158984.62</v>
      </c>
      <c r="K27" s="34">
        <f t="shared" si="19"/>
        <v>163754.1586</v>
      </c>
      <c r="L27" s="7">
        <f t="shared" si="6"/>
        <v>0</v>
      </c>
      <c r="M27" s="7">
        <f t="shared" si="7"/>
        <v>0</v>
      </c>
      <c r="N27" s="132">
        <f t="shared" si="8"/>
        <v>163754.1586</v>
      </c>
      <c r="O27" s="7">
        <f t="shared" si="20"/>
        <v>168666.78335799999</v>
      </c>
      <c r="P27" s="7">
        <f t="shared" si="9"/>
        <v>0</v>
      </c>
      <c r="Q27" s="7">
        <f t="shared" si="10"/>
        <v>0</v>
      </c>
      <c r="R27" s="7">
        <f t="shared" si="11"/>
        <v>168666.78335799999</v>
      </c>
      <c r="S27" s="34">
        <f t="shared" si="21"/>
        <v>173726.78685874</v>
      </c>
      <c r="T27" s="7">
        <f t="shared" si="12"/>
        <v>0</v>
      </c>
      <c r="U27" s="7">
        <f t="shared" si="13"/>
        <v>0</v>
      </c>
      <c r="V27" s="132">
        <f t="shared" si="14"/>
        <v>173726.78685874</v>
      </c>
      <c r="W27" s="7">
        <f t="shared" si="22"/>
        <v>178938.59046450219</v>
      </c>
      <c r="X27" s="7">
        <f t="shared" si="15"/>
        <v>0</v>
      </c>
      <c r="Y27" s="7">
        <f t="shared" si="16"/>
        <v>0</v>
      </c>
      <c r="Z27" s="8">
        <f t="shared" si="17"/>
        <v>178938.59046450219</v>
      </c>
    </row>
    <row r="28" spans="1:26" x14ac:dyDescent="0.25">
      <c r="A28" s="24" t="s">
        <v>27</v>
      </c>
      <c r="B28" s="134">
        <v>6</v>
      </c>
      <c r="C28" s="317">
        <v>161521</v>
      </c>
      <c r="D28" s="7">
        <f t="shared" si="0"/>
        <v>0</v>
      </c>
      <c r="E28" s="7">
        <f t="shared" si="1"/>
        <v>0</v>
      </c>
      <c r="F28" s="8">
        <f t="shared" si="2"/>
        <v>161521</v>
      </c>
      <c r="G28" s="7">
        <f t="shared" si="18"/>
        <v>166366.63</v>
      </c>
      <c r="H28" s="7">
        <f t="shared" si="3"/>
        <v>0</v>
      </c>
      <c r="I28" s="7">
        <f t="shared" si="4"/>
        <v>0</v>
      </c>
      <c r="J28" s="7">
        <f t="shared" si="5"/>
        <v>166366.63</v>
      </c>
      <c r="K28" s="34">
        <f t="shared" si="19"/>
        <v>171357.62890000001</v>
      </c>
      <c r="L28" s="7">
        <f t="shared" si="6"/>
        <v>0</v>
      </c>
      <c r="M28" s="7">
        <f t="shared" si="7"/>
        <v>0</v>
      </c>
      <c r="N28" s="132">
        <f t="shared" si="8"/>
        <v>171357.62890000001</v>
      </c>
      <c r="O28" s="7">
        <f t="shared" si="20"/>
        <v>176498.35776700001</v>
      </c>
      <c r="P28" s="7">
        <f t="shared" si="9"/>
        <v>0</v>
      </c>
      <c r="Q28" s="7">
        <f t="shared" si="10"/>
        <v>0</v>
      </c>
      <c r="R28" s="7">
        <f t="shared" si="11"/>
        <v>176498.35776700001</v>
      </c>
      <c r="S28" s="34">
        <f t="shared" si="21"/>
        <v>181793.30850001003</v>
      </c>
      <c r="T28" s="7">
        <f t="shared" si="12"/>
        <v>0</v>
      </c>
      <c r="U28" s="7">
        <f t="shared" si="13"/>
        <v>0</v>
      </c>
      <c r="V28" s="132">
        <f t="shared" si="14"/>
        <v>181793.30850001003</v>
      </c>
      <c r="W28" s="7">
        <f t="shared" si="22"/>
        <v>187247.10775501034</v>
      </c>
      <c r="X28" s="7">
        <f t="shared" si="15"/>
        <v>0</v>
      </c>
      <c r="Y28" s="7">
        <f t="shared" si="16"/>
        <v>0</v>
      </c>
      <c r="Z28" s="8">
        <f t="shared" si="17"/>
        <v>187247.10775501034</v>
      </c>
    </row>
    <row r="29" spans="1:26" x14ac:dyDescent="0.25">
      <c r="A29" s="119" t="s">
        <v>266</v>
      </c>
      <c r="B29" s="134"/>
      <c r="C29" s="34">
        <v>0</v>
      </c>
      <c r="D29" s="7"/>
      <c r="E29" s="7"/>
      <c r="F29" s="8"/>
      <c r="G29" s="7"/>
      <c r="H29" s="7"/>
      <c r="I29" s="7"/>
      <c r="J29" s="7">
        <f>$J$28</f>
        <v>166366.63</v>
      </c>
      <c r="K29" s="34">
        <v>157666.78881250002</v>
      </c>
      <c r="L29" s="7">
        <v>17422.180163781253</v>
      </c>
      <c r="M29" s="7">
        <v>15766.678881250002</v>
      </c>
      <c r="N29" s="132">
        <f>$N$28</f>
        <v>171357.62890000001</v>
      </c>
      <c r="O29" s="7">
        <v>160425.95761671878</v>
      </c>
      <c r="P29" s="7">
        <v>17727.068316647426</v>
      </c>
      <c r="Q29" s="7">
        <v>16042.595761671879</v>
      </c>
      <c r="R29" s="7">
        <f>$R$28</f>
        <v>176498.35776700001</v>
      </c>
      <c r="S29" s="34">
        <v>163233.41187501137</v>
      </c>
      <c r="T29" s="7">
        <v>18037.292012188758</v>
      </c>
      <c r="U29" s="7">
        <v>16323.341187501137</v>
      </c>
      <c r="V29" s="132">
        <f>$V$28</f>
        <v>181793.30850001003</v>
      </c>
      <c r="W29" s="7">
        <v>166089.99658282407</v>
      </c>
      <c r="X29" s="7">
        <v>18352.944622402061</v>
      </c>
      <c r="Y29" s="7">
        <v>16608.999658282406</v>
      </c>
      <c r="Z29" s="8">
        <f>$Z$28</f>
        <v>187247.10775501034</v>
      </c>
    </row>
    <row r="30" spans="1:26" x14ac:dyDescent="0.25">
      <c r="A30" s="119" t="s">
        <v>266</v>
      </c>
      <c r="B30" s="134"/>
      <c r="C30" s="34">
        <v>0</v>
      </c>
      <c r="D30" s="7"/>
      <c r="E30" s="7"/>
      <c r="F30" s="8"/>
      <c r="G30" s="7"/>
      <c r="H30" s="7"/>
      <c r="I30" s="7"/>
      <c r="J30" s="7">
        <f t="shared" ref="J30:J34" si="28">$J$28</f>
        <v>166366.63</v>
      </c>
      <c r="K30" s="34">
        <v>157666.78881250002</v>
      </c>
      <c r="L30" s="7">
        <v>17422.180163781253</v>
      </c>
      <c r="M30" s="7">
        <v>15766.678881250002</v>
      </c>
      <c r="N30" s="132">
        <f t="shared" ref="N30:N34" si="29">$N$28</f>
        <v>171357.62890000001</v>
      </c>
      <c r="O30" s="7">
        <v>160425.95761671878</v>
      </c>
      <c r="P30" s="7">
        <v>17727.068316647426</v>
      </c>
      <c r="Q30" s="7">
        <v>16042.595761671879</v>
      </c>
      <c r="R30" s="7">
        <f t="shared" ref="R30:R34" si="30">$R$28</f>
        <v>176498.35776700001</v>
      </c>
      <c r="S30" s="34">
        <v>163233.41187501137</v>
      </c>
      <c r="T30" s="7">
        <v>18037.292012188758</v>
      </c>
      <c r="U30" s="7">
        <v>16323.341187501137</v>
      </c>
      <c r="V30" s="132">
        <f t="shared" ref="V30:V34" si="31">$V$28</f>
        <v>181793.30850001003</v>
      </c>
      <c r="W30" s="7">
        <v>166089.99658282407</v>
      </c>
      <c r="X30" s="7">
        <v>18352.944622402061</v>
      </c>
      <c r="Y30" s="7">
        <v>16608.999658282406</v>
      </c>
      <c r="Z30" s="8">
        <f t="shared" ref="Z30:Z34" si="32">$Z$28</f>
        <v>187247.10775501034</v>
      </c>
    </row>
    <row r="31" spans="1:26" x14ac:dyDescent="0.25">
      <c r="A31" s="119" t="s">
        <v>266</v>
      </c>
      <c r="B31" s="134"/>
      <c r="C31" s="34">
        <v>0</v>
      </c>
      <c r="D31" s="7"/>
      <c r="E31" s="7"/>
      <c r="F31" s="8"/>
      <c r="G31" s="7"/>
      <c r="H31" s="7"/>
      <c r="I31" s="7"/>
      <c r="J31" s="7">
        <f t="shared" si="28"/>
        <v>166366.63</v>
      </c>
      <c r="K31" s="34">
        <v>157666.78881250002</v>
      </c>
      <c r="L31" s="7">
        <v>17422.180163781253</v>
      </c>
      <c r="M31" s="7">
        <v>15766.678881250002</v>
      </c>
      <c r="N31" s="132">
        <f t="shared" si="29"/>
        <v>171357.62890000001</v>
      </c>
      <c r="O31" s="7">
        <v>160425.95761671878</v>
      </c>
      <c r="P31" s="7">
        <v>17727.068316647426</v>
      </c>
      <c r="Q31" s="7">
        <v>16042.595761671879</v>
      </c>
      <c r="R31" s="7">
        <f t="shared" si="30"/>
        <v>176498.35776700001</v>
      </c>
      <c r="S31" s="34">
        <v>163233.41187501137</v>
      </c>
      <c r="T31" s="7">
        <v>18037.292012188758</v>
      </c>
      <c r="U31" s="7">
        <v>16323.341187501137</v>
      </c>
      <c r="V31" s="132">
        <f t="shared" si="31"/>
        <v>181793.30850001003</v>
      </c>
      <c r="W31" s="7">
        <v>166089.99658282407</v>
      </c>
      <c r="X31" s="7">
        <v>18352.944622402061</v>
      </c>
      <c r="Y31" s="7">
        <v>16608.999658282406</v>
      </c>
      <c r="Z31" s="8">
        <f t="shared" si="32"/>
        <v>187247.10775501034</v>
      </c>
    </row>
    <row r="32" spans="1:26" x14ac:dyDescent="0.25">
      <c r="A32" s="119" t="s">
        <v>266</v>
      </c>
      <c r="B32" s="134"/>
      <c r="C32" s="34">
        <v>0</v>
      </c>
      <c r="D32" s="7"/>
      <c r="E32" s="7"/>
      <c r="F32" s="8"/>
      <c r="G32" s="7"/>
      <c r="H32" s="7"/>
      <c r="I32" s="7"/>
      <c r="J32" s="7">
        <f t="shared" si="28"/>
        <v>166366.63</v>
      </c>
      <c r="K32" s="34">
        <v>157666.78881250002</v>
      </c>
      <c r="L32" s="7">
        <v>17422.180163781253</v>
      </c>
      <c r="M32" s="7">
        <v>15766.678881250002</v>
      </c>
      <c r="N32" s="132">
        <f t="shared" si="29"/>
        <v>171357.62890000001</v>
      </c>
      <c r="O32" s="7">
        <v>160425.95761671878</v>
      </c>
      <c r="P32" s="7">
        <v>17727.068316647426</v>
      </c>
      <c r="Q32" s="7">
        <v>16042.595761671879</v>
      </c>
      <c r="R32" s="7">
        <f t="shared" si="30"/>
        <v>176498.35776700001</v>
      </c>
      <c r="S32" s="34">
        <v>163233.41187501137</v>
      </c>
      <c r="T32" s="7">
        <v>18037.292012188758</v>
      </c>
      <c r="U32" s="7">
        <v>16323.341187501137</v>
      </c>
      <c r="V32" s="132">
        <f t="shared" si="31"/>
        <v>181793.30850001003</v>
      </c>
      <c r="W32" s="7">
        <v>166089.99658282407</v>
      </c>
      <c r="X32" s="7">
        <v>18352.944622402061</v>
      </c>
      <c r="Y32" s="7">
        <v>16608.999658282406</v>
      </c>
      <c r="Z32" s="8">
        <f t="shared" si="32"/>
        <v>187247.10775501034</v>
      </c>
    </row>
    <row r="33" spans="1:26" x14ac:dyDescent="0.25">
      <c r="A33" s="119" t="s">
        <v>266</v>
      </c>
      <c r="B33" s="134"/>
      <c r="C33" s="34">
        <v>0</v>
      </c>
      <c r="D33" s="7"/>
      <c r="E33" s="7"/>
      <c r="F33" s="8"/>
      <c r="G33" s="7"/>
      <c r="H33" s="7"/>
      <c r="I33" s="7"/>
      <c r="J33" s="7">
        <f t="shared" si="28"/>
        <v>166366.63</v>
      </c>
      <c r="K33" s="34">
        <v>157666.78881250002</v>
      </c>
      <c r="L33" s="7">
        <v>17422.180163781253</v>
      </c>
      <c r="M33" s="7">
        <v>15766.678881250002</v>
      </c>
      <c r="N33" s="132">
        <f t="shared" si="29"/>
        <v>171357.62890000001</v>
      </c>
      <c r="O33" s="7">
        <v>160425.95761671878</v>
      </c>
      <c r="P33" s="7">
        <v>17727.068316647426</v>
      </c>
      <c r="Q33" s="7">
        <v>16042.595761671879</v>
      </c>
      <c r="R33" s="7">
        <f t="shared" si="30"/>
        <v>176498.35776700001</v>
      </c>
      <c r="S33" s="34">
        <v>163233.41187501137</v>
      </c>
      <c r="T33" s="7">
        <v>18037.292012188758</v>
      </c>
      <c r="U33" s="7">
        <v>16323.341187501137</v>
      </c>
      <c r="V33" s="132">
        <f t="shared" si="31"/>
        <v>181793.30850001003</v>
      </c>
      <c r="W33" s="7">
        <v>166089.99658282407</v>
      </c>
      <c r="X33" s="7">
        <v>18352.944622402061</v>
      </c>
      <c r="Y33" s="7">
        <v>16608.999658282406</v>
      </c>
      <c r="Z33" s="8">
        <f t="shared" si="32"/>
        <v>187247.10775501034</v>
      </c>
    </row>
    <row r="34" spans="1:26" ht="15.75" thickBot="1" x14ac:dyDescent="0.3">
      <c r="A34" s="119" t="s">
        <v>266</v>
      </c>
      <c r="B34" s="134"/>
      <c r="C34" s="34">
        <v>0</v>
      </c>
      <c r="D34" s="7"/>
      <c r="E34" s="7"/>
      <c r="F34" s="8"/>
      <c r="G34" s="7"/>
      <c r="H34" s="7"/>
      <c r="I34" s="7"/>
      <c r="J34" s="7">
        <f t="shared" si="28"/>
        <v>166366.63</v>
      </c>
      <c r="K34" s="34">
        <v>157666.78881250002</v>
      </c>
      <c r="L34" s="7">
        <v>17422.180163781253</v>
      </c>
      <c r="M34" s="7">
        <v>15766.678881250002</v>
      </c>
      <c r="N34" s="132">
        <f t="shared" si="29"/>
        <v>171357.62890000001</v>
      </c>
      <c r="O34" s="7">
        <v>160425.95761671878</v>
      </c>
      <c r="P34" s="7">
        <v>17727.068316647426</v>
      </c>
      <c r="Q34" s="7">
        <v>16042.595761671879</v>
      </c>
      <c r="R34" s="7">
        <f t="shared" si="30"/>
        <v>176498.35776700001</v>
      </c>
      <c r="S34" s="34">
        <v>163233.41187501137</v>
      </c>
      <c r="T34" s="7">
        <v>18037.292012188758</v>
      </c>
      <c r="U34" s="7">
        <v>16323.341187501137</v>
      </c>
      <c r="V34" s="132">
        <f t="shared" si="31"/>
        <v>181793.30850001003</v>
      </c>
      <c r="W34" s="7">
        <v>166089.99658282407</v>
      </c>
      <c r="X34" s="7">
        <v>18352.944622402061</v>
      </c>
      <c r="Y34" s="7">
        <v>16608.999658282406</v>
      </c>
      <c r="Z34" s="8">
        <f t="shared" si="32"/>
        <v>187247.10775501034</v>
      </c>
    </row>
    <row r="35" spans="1:26" x14ac:dyDescent="0.25">
      <c r="A35" s="26" t="s">
        <v>28</v>
      </c>
      <c r="B35" s="133">
        <v>1</v>
      </c>
      <c r="C35" s="316">
        <v>95823</v>
      </c>
      <c r="D35" s="28">
        <f t="shared" si="0"/>
        <v>0</v>
      </c>
      <c r="E35" s="28">
        <f t="shared" si="1"/>
        <v>0</v>
      </c>
      <c r="F35" s="29">
        <f t="shared" si="2"/>
        <v>95823</v>
      </c>
      <c r="G35" s="28">
        <f t="shared" si="18"/>
        <v>98697.69</v>
      </c>
      <c r="H35" s="28">
        <f t="shared" si="3"/>
        <v>0</v>
      </c>
      <c r="I35" s="28">
        <f t="shared" si="4"/>
        <v>0</v>
      </c>
      <c r="J35" s="28">
        <f t="shared" si="5"/>
        <v>98697.69</v>
      </c>
      <c r="K35" s="37">
        <f t="shared" si="19"/>
        <v>101658.6207</v>
      </c>
      <c r="L35" s="28">
        <f t="shared" si="6"/>
        <v>0</v>
      </c>
      <c r="M35" s="28">
        <f t="shared" si="7"/>
        <v>0</v>
      </c>
      <c r="N35" s="131">
        <f t="shared" si="8"/>
        <v>101658.6207</v>
      </c>
      <c r="O35" s="28">
        <f t="shared" si="20"/>
        <v>104708.379321</v>
      </c>
      <c r="P35" s="28">
        <f t="shared" si="9"/>
        <v>0</v>
      </c>
      <c r="Q35" s="28">
        <f t="shared" si="10"/>
        <v>0</v>
      </c>
      <c r="R35" s="28">
        <f t="shared" si="11"/>
        <v>104708.379321</v>
      </c>
      <c r="S35" s="37">
        <f t="shared" si="21"/>
        <v>107849.63070063</v>
      </c>
      <c r="T35" s="28">
        <f t="shared" si="12"/>
        <v>0</v>
      </c>
      <c r="U35" s="28">
        <f t="shared" si="13"/>
        <v>0</v>
      </c>
      <c r="V35" s="131">
        <f t="shared" si="14"/>
        <v>107849.63070063</v>
      </c>
      <c r="W35" s="28">
        <f t="shared" si="22"/>
        <v>111085.1196216489</v>
      </c>
      <c r="X35" s="28">
        <f t="shared" si="15"/>
        <v>0</v>
      </c>
      <c r="Y35" s="28">
        <f t="shared" si="16"/>
        <v>0</v>
      </c>
      <c r="Z35" s="29">
        <f t="shared" si="17"/>
        <v>111085.1196216489</v>
      </c>
    </row>
    <row r="36" spans="1:26" x14ac:dyDescent="0.25">
      <c r="A36" s="24" t="s">
        <v>29</v>
      </c>
      <c r="B36" s="134">
        <v>2</v>
      </c>
      <c r="C36" s="317">
        <v>102266</v>
      </c>
      <c r="D36" s="7">
        <f t="shared" si="0"/>
        <v>0</v>
      </c>
      <c r="E36" s="7">
        <f t="shared" si="1"/>
        <v>0</v>
      </c>
      <c r="F36" s="8">
        <f t="shared" si="2"/>
        <v>102266</v>
      </c>
      <c r="G36" s="7">
        <f t="shared" si="18"/>
        <v>105333.98</v>
      </c>
      <c r="H36" s="7">
        <f t="shared" si="3"/>
        <v>0</v>
      </c>
      <c r="I36" s="7">
        <f t="shared" si="4"/>
        <v>0</v>
      </c>
      <c r="J36" s="7">
        <f t="shared" si="5"/>
        <v>105333.98</v>
      </c>
      <c r="K36" s="34">
        <f t="shared" si="19"/>
        <v>108493.9994</v>
      </c>
      <c r="L36" s="7">
        <f t="shared" si="6"/>
        <v>0</v>
      </c>
      <c r="M36" s="7">
        <f t="shared" si="7"/>
        <v>0</v>
      </c>
      <c r="N36" s="132">
        <f t="shared" si="8"/>
        <v>108493.9994</v>
      </c>
      <c r="O36" s="7">
        <f t="shared" si="20"/>
        <v>111748.819382</v>
      </c>
      <c r="P36" s="7">
        <f t="shared" si="9"/>
        <v>0</v>
      </c>
      <c r="Q36" s="7">
        <f t="shared" si="10"/>
        <v>0</v>
      </c>
      <c r="R36" s="7">
        <f t="shared" si="11"/>
        <v>111748.819382</v>
      </c>
      <c r="S36" s="34">
        <f t="shared" si="21"/>
        <v>115101.28396346001</v>
      </c>
      <c r="T36" s="7">
        <f t="shared" si="12"/>
        <v>0</v>
      </c>
      <c r="U36" s="7">
        <f t="shared" si="13"/>
        <v>0</v>
      </c>
      <c r="V36" s="132">
        <f t="shared" si="14"/>
        <v>115101.28396346001</v>
      </c>
      <c r="W36" s="7">
        <f t="shared" si="22"/>
        <v>118554.32248236382</v>
      </c>
      <c r="X36" s="7">
        <f t="shared" si="15"/>
        <v>0</v>
      </c>
      <c r="Y36" s="7">
        <f t="shared" si="16"/>
        <v>0</v>
      </c>
      <c r="Z36" s="8">
        <f t="shared" si="17"/>
        <v>118554.32248236382</v>
      </c>
    </row>
    <row r="37" spans="1:26" x14ac:dyDescent="0.25">
      <c r="A37" s="24" t="s">
        <v>30</v>
      </c>
      <c r="B37" s="134">
        <v>3</v>
      </c>
      <c r="C37" s="317">
        <v>108723</v>
      </c>
      <c r="D37" s="7">
        <f t="shared" si="0"/>
        <v>0</v>
      </c>
      <c r="E37" s="7">
        <f t="shared" si="1"/>
        <v>0</v>
      </c>
      <c r="F37" s="8">
        <f t="shared" si="2"/>
        <v>108723</v>
      </c>
      <c r="G37" s="7">
        <f t="shared" si="18"/>
        <v>111984.69</v>
      </c>
      <c r="H37" s="7">
        <f t="shared" si="3"/>
        <v>0</v>
      </c>
      <c r="I37" s="7">
        <f t="shared" si="4"/>
        <v>0</v>
      </c>
      <c r="J37" s="7">
        <f t="shared" si="5"/>
        <v>111984.69</v>
      </c>
      <c r="K37" s="34">
        <f t="shared" si="19"/>
        <v>115344.2307</v>
      </c>
      <c r="L37" s="7">
        <f t="shared" si="6"/>
        <v>0</v>
      </c>
      <c r="M37" s="7">
        <f t="shared" si="7"/>
        <v>0</v>
      </c>
      <c r="N37" s="132">
        <f t="shared" si="8"/>
        <v>115344.2307</v>
      </c>
      <c r="O37" s="7">
        <f t="shared" si="20"/>
        <v>118804.557621</v>
      </c>
      <c r="P37" s="7">
        <f t="shared" si="9"/>
        <v>0</v>
      </c>
      <c r="Q37" s="7">
        <f t="shared" si="10"/>
        <v>0</v>
      </c>
      <c r="R37" s="7">
        <f t="shared" si="11"/>
        <v>118804.557621</v>
      </c>
      <c r="S37" s="34">
        <f t="shared" si="21"/>
        <v>122368.69434963001</v>
      </c>
      <c r="T37" s="7">
        <f t="shared" si="12"/>
        <v>0</v>
      </c>
      <c r="U37" s="7">
        <f t="shared" si="13"/>
        <v>0</v>
      </c>
      <c r="V37" s="132">
        <f t="shared" si="14"/>
        <v>122368.69434963001</v>
      </c>
      <c r="W37" s="7">
        <f t="shared" si="22"/>
        <v>126039.75518011891</v>
      </c>
      <c r="X37" s="7">
        <f t="shared" si="15"/>
        <v>0</v>
      </c>
      <c r="Y37" s="7">
        <f t="shared" si="16"/>
        <v>0</v>
      </c>
      <c r="Z37" s="8">
        <f t="shared" si="17"/>
        <v>126039.75518011891</v>
      </c>
    </row>
    <row r="38" spans="1:26" x14ac:dyDescent="0.25">
      <c r="A38" s="24" t="s">
        <v>31</v>
      </c>
      <c r="B38" s="134">
        <v>4</v>
      </c>
      <c r="C38" s="317">
        <v>115173</v>
      </c>
      <c r="D38" s="7">
        <f t="shared" si="0"/>
        <v>0</v>
      </c>
      <c r="E38" s="7">
        <f t="shared" si="1"/>
        <v>0</v>
      </c>
      <c r="F38" s="8">
        <f t="shared" si="2"/>
        <v>115173</v>
      </c>
      <c r="G38" s="7">
        <f t="shared" si="18"/>
        <v>118628.19</v>
      </c>
      <c r="H38" s="7">
        <f t="shared" si="3"/>
        <v>0</v>
      </c>
      <c r="I38" s="7">
        <f t="shared" si="4"/>
        <v>0</v>
      </c>
      <c r="J38" s="7">
        <f t="shared" si="5"/>
        <v>118628.19</v>
      </c>
      <c r="K38" s="34">
        <f t="shared" si="19"/>
        <v>122187.03570000001</v>
      </c>
      <c r="L38" s="7">
        <f t="shared" si="6"/>
        <v>0</v>
      </c>
      <c r="M38" s="7">
        <f t="shared" si="7"/>
        <v>0</v>
      </c>
      <c r="N38" s="132">
        <f t="shared" si="8"/>
        <v>122187.03570000001</v>
      </c>
      <c r="O38" s="7">
        <f t="shared" si="20"/>
        <v>125852.64677100001</v>
      </c>
      <c r="P38" s="7">
        <f t="shared" si="9"/>
        <v>0</v>
      </c>
      <c r="Q38" s="7">
        <f t="shared" si="10"/>
        <v>0</v>
      </c>
      <c r="R38" s="7">
        <f t="shared" si="11"/>
        <v>125852.64677100001</v>
      </c>
      <c r="S38" s="34">
        <f t="shared" si="21"/>
        <v>129628.22617413002</v>
      </c>
      <c r="T38" s="7">
        <f t="shared" si="12"/>
        <v>0</v>
      </c>
      <c r="U38" s="7">
        <f t="shared" si="13"/>
        <v>0</v>
      </c>
      <c r="V38" s="132">
        <f t="shared" si="14"/>
        <v>129628.22617413002</v>
      </c>
      <c r="W38" s="7">
        <f t="shared" si="22"/>
        <v>133517.07295935391</v>
      </c>
      <c r="X38" s="7">
        <f t="shared" si="15"/>
        <v>0</v>
      </c>
      <c r="Y38" s="7">
        <f t="shared" si="16"/>
        <v>0</v>
      </c>
      <c r="Z38" s="8">
        <f t="shared" si="17"/>
        <v>133517.07295935391</v>
      </c>
    </row>
    <row r="39" spans="1:26" x14ac:dyDescent="0.25">
      <c r="A39" s="24" t="s">
        <v>32</v>
      </c>
      <c r="B39" s="134">
        <v>5</v>
      </c>
      <c r="C39" s="317">
        <v>121632</v>
      </c>
      <c r="D39" s="7">
        <f t="shared" si="0"/>
        <v>0</v>
      </c>
      <c r="E39" s="7">
        <f t="shared" si="1"/>
        <v>0</v>
      </c>
      <c r="F39" s="8">
        <f t="shared" si="2"/>
        <v>121632</v>
      </c>
      <c r="G39" s="7">
        <f t="shared" si="18"/>
        <v>125280.96000000001</v>
      </c>
      <c r="H39" s="7">
        <f t="shared" si="3"/>
        <v>0</v>
      </c>
      <c r="I39" s="7">
        <f t="shared" si="4"/>
        <v>0</v>
      </c>
      <c r="J39" s="7">
        <f t="shared" si="5"/>
        <v>125280.96000000001</v>
      </c>
      <c r="K39" s="34">
        <f t="shared" si="19"/>
        <v>129039.38880000002</v>
      </c>
      <c r="L39" s="7">
        <f t="shared" si="6"/>
        <v>0</v>
      </c>
      <c r="M39" s="7">
        <f t="shared" si="7"/>
        <v>0</v>
      </c>
      <c r="N39" s="132">
        <f t="shared" si="8"/>
        <v>129039.38880000002</v>
      </c>
      <c r="O39" s="7">
        <f t="shared" si="20"/>
        <v>132910.57046400002</v>
      </c>
      <c r="P39" s="7">
        <f t="shared" si="9"/>
        <v>0</v>
      </c>
      <c r="Q39" s="7">
        <f t="shared" si="10"/>
        <v>0</v>
      </c>
      <c r="R39" s="7">
        <f t="shared" si="11"/>
        <v>132910.57046400002</v>
      </c>
      <c r="S39" s="34">
        <f t="shared" si="21"/>
        <v>136897.88757792002</v>
      </c>
      <c r="T39" s="7">
        <f t="shared" si="12"/>
        <v>0</v>
      </c>
      <c r="U39" s="7">
        <f t="shared" si="13"/>
        <v>0</v>
      </c>
      <c r="V39" s="132">
        <f t="shared" si="14"/>
        <v>136897.88757792002</v>
      </c>
      <c r="W39" s="7">
        <f t="shared" si="22"/>
        <v>141004.82420525761</v>
      </c>
      <c r="X39" s="7">
        <f t="shared" si="15"/>
        <v>0</v>
      </c>
      <c r="Y39" s="7">
        <f t="shared" si="16"/>
        <v>0</v>
      </c>
      <c r="Z39" s="8">
        <f t="shared" si="17"/>
        <v>141004.82420525761</v>
      </c>
    </row>
    <row r="40" spans="1:26" x14ac:dyDescent="0.25">
      <c r="A40" s="24" t="s">
        <v>33</v>
      </c>
      <c r="B40" s="134">
        <v>6</v>
      </c>
      <c r="C40" s="317">
        <v>128079</v>
      </c>
      <c r="D40" s="7">
        <f t="shared" si="0"/>
        <v>0</v>
      </c>
      <c r="E40" s="7">
        <f t="shared" si="1"/>
        <v>0</v>
      </c>
      <c r="F40" s="8">
        <f t="shared" si="2"/>
        <v>128079</v>
      </c>
      <c r="G40" s="7">
        <f t="shared" si="18"/>
        <v>131921.37</v>
      </c>
      <c r="H40" s="7">
        <f t="shared" si="3"/>
        <v>0</v>
      </c>
      <c r="I40" s="7">
        <f t="shared" si="4"/>
        <v>0</v>
      </c>
      <c r="J40" s="7">
        <f t="shared" si="5"/>
        <v>131921.37</v>
      </c>
      <c r="K40" s="34">
        <f t="shared" si="19"/>
        <v>135879.0111</v>
      </c>
      <c r="L40" s="7">
        <f t="shared" si="6"/>
        <v>0</v>
      </c>
      <c r="M40" s="7">
        <f t="shared" si="7"/>
        <v>0</v>
      </c>
      <c r="N40" s="132">
        <f t="shared" si="8"/>
        <v>135879.0111</v>
      </c>
      <c r="O40" s="7">
        <f t="shared" si="20"/>
        <v>139955.381433</v>
      </c>
      <c r="P40" s="7">
        <f t="shared" si="9"/>
        <v>0</v>
      </c>
      <c r="Q40" s="7">
        <f t="shared" si="10"/>
        <v>0</v>
      </c>
      <c r="R40" s="7">
        <f t="shared" si="11"/>
        <v>139955.381433</v>
      </c>
      <c r="S40" s="34">
        <f t="shared" si="21"/>
        <v>144154.04287599001</v>
      </c>
      <c r="T40" s="7">
        <f t="shared" si="12"/>
        <v>0</v>
      </c>
      <c r="U40" s="7">
        <f t="shared" si="13"/>
        <v>0</v>
      </c>
      <c r="V40" s="132">
        <f t="shared" si="14"/>
        <v>144154.04287599001</v>
      </c>
      <c r="W40" s="7">
        <f t="shared" si="22"/>
        <v>148478.66416226971</v>
      </c>
      <c r="X40" s="7">
        <f t="shared" si="15"/>
        <v>0</v>
      </c>
      <c r="Y40" s="7">
        <f t="shared" si="16"/>
        <v>0</v>
      </c>
      <c r="Z40" s="8">
        <f t="shared" si="17"/>
        <v>148478.66416226971</v>
      </c>
    </row>
    <row r="41" spans="1:26" x14ac:dyDescent="0.25">
      <c r="A41" s="119" t="s">
        <v>266</v>
      </c>
      <c r="B41" s="134"/>
      <c r="C41" s="34">
        <v>0</v>
      </c>
      <c r="D41" s="7"/>
      <c r="E41" s="7"/>
      <c r="F41" s="8"/>
      <c r="G41" s="7"/>
      <c r="H41" s="7"/>
      <c r="I41" s="7"/>
      <c r="J41" s="7">
        <f>$J$40</f>
        <v>131921.37</v>
      </c>
      <c r="K41" s="34">
        <v>124965.60560000001</v>
      </c>
      <c r="L41" s="7">
        <v>13808.699418800001</v>
      </c>
      <c r="M41" s="7">
        <v>12496.560560000002</v>
      </c>
      <c r="N41" s="132">
        <f>$N$40</f>
        <v>135879.0111</v>
      </c>
      <c r="O41" s="7">
        <v>127152.50369800001</v>
      </c>
      <c r="P41" s="7">
        <v>14050.351658629002</v>
      </c>
      <c r="Q41" s="7">
        <v>12715.250369800002</v>
      </c>
      <c r="R41" s="7">
        <f>R40</f>
        <v>139955.381433</v>
      </c>
      <c r="S41" s="34">
        <v>129377.67251271503</v>
      </c>
      <c r="T41" s="7">
        <v>14296.232812655011</v>
      </c>
      <c r="U41" s="7">
        <v>12937.767251271503</v>
      </c>
      <c r="V41" s="132">
        <f>$V$40</f>
        <v>144154.04287599001</v>
      </c>
      <c r="W41" s="7">
        <v>131641.78178168755</v>
      </c>
      <c r="X41" s="7">
        <v>14546.416886876474</v>
      </c>
      <c r="Y41" s="7">
        <v>13164.178178168755</v>
      </c>
      <c r="Z41" s="8">
        <f>$Z$40</f>
        <v>148478.66416226971</v>
      </c>
    </row>
    <row r="42" spans="1:26" x14ac:dyDescent="0.25">
      <c r="A42" s="119" t="s">
        <v>266</v>
      </c>
      <c r="B42" s="134"/>
      <c r="C42" s="34">
        <v>0</v>
      </c>
      <c r="D42" s="7"/>
      <c r="E42" s="7"/>
      <c r="F42" s="8"/>
      <c r="G42" s="7"/>
      <c r="H42" s="7"/>
      <c r="I42" s="7"/>
      <c r="J42" s="7">
        <f t="shared" ref="J42:J46" si="33">$J$40</f>
        <v>131921.37</v>
      </c>
      <c r="K42" s="34">
        <v>124965.60560000001</v>
      </c>
      <c r="L42" s="7">
        <v>13808.699418800001</v>
      </c>
      <c r="M42" s="7">
        <v>12496.560560000002</v>
      </c>
      <c r="N42" s="132">
        <f t="shared" ref="N42:N46" si="34">$N$40</f>
        <v>135879.0111</v>
      </c>
      <c r="O42" s="7">
        <v>127152.50369800001</v>
      </c>
      <c r="P42" s="7">
        <v>14050.351658629002</v>
      </c>
      <c r="Q42" s="7">
        <v>12715.250369800002</v>
      </c>
      <c r="R42" s="7">
        <f t="shared" ref="R42:R46" si="35">R41</f>
        <v>139955.381433</v>
      </c>
      <c r="S42" s="34">
        <v>129377.67251271503</v>
      </c>
      <c r="T42" s="7">
        <v>14296.232812655011</v>
      </c>
      <c r="U42" s="7">
        <v>12937.767251271503</v>
      </c>
      <c r="V42" s="132">
        <f t="shared" ref="V42:V46" si="36">$V$40</f>
        <v>144154.04287599001</v>
      </c>
      <c r="W42" s="7">
        <v>131641.78178168755</v>
      </c>
      <c r="X42" s="7">
        <v>14546.416886876474</v>
      </c>
      <c r="Y42" s="7">
        <v>13164.178178168755</v>
      </c>
      <c r="Z42" s="8">
        <f t="shared" ref="Z42:Z46" si="37">$Z$40</f>
        <v>148478.66416226971</v>
      </c>
    </row>
    <row r="43" spans="1:26" x14ac:dyDescent="0.25">
      <c r="A43" s="119" t="s">
        <v>266</v>
      </c>
      <c r="B43" s="134"/>
      <c r="C43" s="34">
        <v>0</v>
      </c>
      <c r="D43" s="7"/>
      <c r="E43" s="7"/>
      <c r="F43" s="8"/>
      <c r="G43" s="7"/>
      <c r="H43" s="7"/>
      <c r="I43" s="7"/>
      <c r="J43" s="7">
        <f t="shared" si="33"/>
        <v>131921.37</v>
      </c>
      <c r="K43" s="34">
        <v>124965.60560000001</v>
      </c>
      <c r="L43" s="7">
        <v>13808.699418800001</v>
      </c>
      <c r="M43" s="7">
        <v>12496.560560000002</v>
      </c>
      <c r="N43" s="132">
        <f t="shared" si="34"/>
        <v>135879.0111</v>
      </c>
      <c r="O43" s="7">
        <v>127152.50369800001</v>
      </c>
      <c r="P43" s="7">
        <v>14050.351658629002</v>
      </c>
      <c r="Q43" s="7">
        <v>12715.250369800002</v>
      </c>
      <c r="R43" s="7">
        <f t="shared" si="35"/>
        <v>139955.381433</v>
      </c>
      <c r="S43" s="34">
        <v>129377.67251271503</v>
      </c>
      <c r="T43" s="7">
        <v>14296.232812655011</v>
      </c>
      <c r="U43" s="7">
        <v>12937.767251271503</v>
      </c>
      <c r="V43" s="132">
        <f t="shared" si="36"/>
        <v>144154.04287599001</v>
      </c>
      <c r="W43" s="7">
        <v>131641.78178168755</v>
      </c>
      <c r="X43" s="7">
        <v>14546.416886876474</v>
      </c>
      <c r="Y43" s="7">
        <v>13164.178178168755</v>
      </c>
      <c r="Z43" s="8">
        <f t="shared" si="37"/>
        <v>148478.66416226971</v>
      </c>
    </row>
    <row r="44" spans="1:26" x14ac:dyDescent="0.25">
      <c r="A44" s="119" t="s">
        <v>266</v>
      </c>
      <c r="B44" s="134"/>
      <c r="C44" s="34">
        <v>0</v>
      </c>
      <c r="D44" s="7"/>
      <c r="E44" s="7"/>
      <c r="F44" s="8"/>
      <c r="G44" s="7"/>
      <c r="H44" s="7"/>
      <c r="I44" s="7"/>
      <c r="J44" s="7">
        <f t="shared" si="33"/>
        <v>131921.37</v>
      </c>
      <c r="K44" s="34">
        <v>124965.60560000001</v>
      </c>
      <c r="L44" s="7">
        <v>13808.699418800001</v>
      </c>
      <c r="M44" s="7">
        <v>12496.560560000002</v>
      </c>
      <c r="N44" s="132">
        <f t="shared" si="34"/>
        <v>135879.0111</v>
      </c>
      <c r="O44" s="7">
        <v>127152.50369800001</v>
      </c>
      <c r="P44" s="7">
        <v>14050.351658629002</v>
      </c>
      <c r="Q44" s="7">
        <v>12715.250369800002</v>
      </c>
      <c r="R44" s="7">
        <f t="shared" si="35"/>
        <v>139955.381433</v>
      </c>
      <c r="S44" s="34">
        <v>129377.67251271503</v>
      </c>
      <c r="T44" s="7">
        <v>14296.232812655011</v>
      </c>
      <c r="U44" s="7">
        <v>12937.767251271503</v>
      </c>
      <c r="V44" s="132">
        <f t="shared" si="36"/>
        <v>144154.04287599001</v>
      </c>
      <c r="W44" s="7">
        <v>131641.78178168755</v>
      </c>
      <c r="X44" s="7">
        <v>14546.416886876474</v>
      </c>
      <c r="Y44" s="7">
        <v>13164.178178168755</v>
      </c>
      <c r="Z44" s="8">
        <f t="shared" si="37"/>
        <v>148478.66416226971</v>
      </c>
    </row>
    <row r="45" spans="1:26" x14ac:dyDescent="0.25">
      <c r="A45" s="119" t="s">
        <v>266</v>
      </c>
      <c r="B45" s="134"/>
      <c r="C45" s="34">
        <v>0</v>
      </c>
      <c r="D45" s="7"/>
      <c r="E45" s="7"/>
      <c r="F45" s="8"/>
      <c r="G45" s="7"/>
      <c r="H45" s="7"/>
      <c r="I45" s="7"/>
      <c r="J45" s="7">
        <f t="shared" si="33"/>
        <v>131921.37</v>
      </c>
      <c r="K45" s="34">
        <v>124965.60560000001</v>
      </c>
      <c r="L45" s="7">
        <v>13808.699418800001</v>
      </c>
      <c r="M45" s="7">
        <v>12496.560560000002</v>
      </c>
      <c r="N45" s="132">
        <f t="shared" si="34"/>
        <v>135879.0111</v>
      </c>
      <c r="O45" s="7">
        <v>127152.50369800001</v>
      </c>
      <c r="P45" s="7">
        <v>14050.351658629002</v>
      </c>
      <c r="Q45" s="7">
        <v>12715.250369800002</v>
      </c>
      <c r="R45" s="7">
        <f t="shared" si="35"/>
        <v>139955.381433</v>
      </c>
      <c r="S45" s="34">
        <v>129377.67251271503</v>
      </c>
      <c r="T45" s="7">
        <v>14296.232812655011</v>
      </c>
      <c r="U45" s="7">
        <v>12937.767251271503</v>
      </c>
      <c r="V45" s="132">
        <f t="shared" si="36"/>
        <v>144154.04287599001</v>
      </c>
      <c r="W45" s="7">
        <v>131641.78178168755</v>
      </c>
      <c r="X45" s="7">
        <v>14546.416886876474</v>
      </c>
      <c r="Y45" s="7">
        <v>13164.178178168755</v>
      </c>
      <c r="Z45" s="8">
        <f t="shared" si="37"/>
        <v>148478.66416226971</v>
      </c>
    </row>
    <row r="46" spans="1:26" ht="15.75" thickBot="1" x14ac:dyDescent="0.3">
      <c r="A46" s="120" t="s">
        <v>266</v>
      </c>
      <c r="B46" s="135"/>
      <c r="C46" s="35">
        <v>0</v>
      </c>
      <c r="D46" s="10"/>
      <c r="E46" s="10"/>
      <c r="F46" s="11"/>
      <c r="G46" s="10"/>
      <c r="H46" s="10"/>
      <c r="I46" s="10"/>
      <c r="J46" s="7">
        <f t="shared" si="33"/>
        <v>131921.37</v>
      </c>
      <c r="K46" s="35">
        <v>124965.60560000001</v>
      </c>
      <c r="L46" s="10">
        <v>13808.699418800001</v>
      </c>
      <c r="M46" s="10">
        <v>12496.560560000002</v>
      </c>
      <c r="N46" s="132">
        <f t="shared" si="34"/>
        <v>135879.0111</v>
      </c>
      <c r="O46" s="10">
        <v>127152.50369800001</v>
      </c>
      <c r="P46" s="10">
        <v>14050.351658629002</v>
      </c>
      <c r="Q46" s="10">
        <v>12715.250369800002</v>
      </c>
      <c r="R46" s="7">
        <f t="shared" si="35"/>
        <v>139955.381433</v>
      </c>
      <c r="S46" s="35">
        <v>129377.67251271503</v>
      </c>
      <c r="T46" s="10">
        <v>14296.232812655011</v>
      </c>
      <c r="U46" s="10">
        <v>12937.767251271503</v>
      </c>
      <c r="V46" s="132">
        <f t="shared" si="36"/>
        <v>144154.04287599001</v>
      </c>
      <c r="W46" s="10">
        <v>131641.78178168755</v>
      </c>
      <c r="X46" s="10">
        <v>14546.416886876474</v>
      </c>
      <c r="Y46" s="10">
        <v>13164.178178168755</v>
      </c>
      <c r="Z46" s="8">
        <f t="shared" si="37"/>
        <v>148478.66416226971</v>
      </c>
    </row>
    <row r="47" spans="1:26" x14ac:dyDescent="0.25">
      <c r="A47" s="24" t="s">
        <v>34</v>
      </c>
      <c r="B47" s="134">
        <v>1</v>
      </c>
      <c r="C47" s="317">
        <v>91030</v>
      </c>
      <c r="D47" s="7">
        <f t="shared" si="0"/>
        <v>0</v>
      </c>
      <c r="E47" s="7">
        <f t="shared" si="1"/>
        <v>0</v>
      </c>
      <c r="F47" s="8">
        <f t="shared" si="2"/>
        <v>91030</v>
      </c>
      <c r="G47" s="7">
        <f t="shared" si="18"/>
        <v>93760.900000000009</v>
      </c>
      <c r="H47" s="7">
        <f t="shared" si="3"/>
        <v>0</v>
      </c>
      <c r="I47" s="7">
        <f t="shared" si="4"/>
        <v>0</v>
      </c>
      <c r="J47" s="7">
        <f t="shared" si="5"/>
        <v>93760.900000000009</v>
      </c>
      <c r="K47" s="34">
        <f t="shared" si="19"/>
        <v>96573.727000000014</v>
      </c>
      <c r="L47" s="7">
        <f t="shared" si="6"/>
        <v>0</v>
      </c>
      <c r="M47" s="7">
        <f t="shared" si="7"/>
        <v>0</v>
      </c>
      <c r="N47" s="132">
        <f t="shared" si="8"/>
        <v>96573.727000000014</v>
      </c>
      <c r="O47" s="7">
        <f t="shared" si="20"/>
        <v>99470.938810000021</v>
      </c>
      <c r="P47" s="7">
        <f t="shared" si="9"/>
        <v>0</v>
      </c>
      <c r="Q47" s="7">
        <f t="shared" si="10"/>
        <v>0</v>
      </c>
      <c r="R47" s="7">
        <f t="shared" si="11"/>
        <v>99470.938810000021</v>
      </c>
      <c r="S47" s="34">
        <f t="shared" si="21"/>
        <v>102455.06697430002</v>
      </c>
      <c r="T47" s="7">
        <f t="shared" si="12"/>
        <v>0</v>
      </c>
      <c r="U47" s="7">
        <f t="shared" si="13"/>
        <v>0</v>
      </c>
      <c r="V47" s="132">
        <f t="shared" si="14"/>
        <v>102455.06697430002</v>
      </c>
      <c r="W47" s="7">
        <f t="shared" si="22"/>
        <v>105528.71898352902</v>
      </c>
      <c r="X47" s="7">
        <f t="shared" si="15"/>
        <v>0</v>
      </c>
      <c r="Y47" s="7">
        <f t="shared" si="16"/>
        <v>0</v>
      </c>
      <c r="Z47" s="8">
        <f t="shared" si="17"/>
        <v>105528.71898352902</v>
      </c>
    </row>
    <row r="48" spans="1:26" x14ac:dyDescent="0.25">
      <c r="A48" s="24" t="s">
        <v>35</v>
      </c>
      <c r="B48" s="134">
        <v>2</v>
      </c>
      <c r="C48" s="317">
        <v>97157</v>
      </c>
      <c r="D48" s="7">
        <f t="shared" si="0"/>
        <v>0</v>
      </c>
      <c r="E48" s="7">
        <f t="shared" si="1"/>
        <v>0</v>
      </c>
      <c r="F48" s="8">
        <f t="shared" si="2"/>
        <v>97157</v>
      </c>
      <c r="G48" s="7">
        <f t="shared" si="18"/>
        <v>100071.71</v>
      </c>
      <c r="H48" s="7">
        <f t="shared" si="3"/>
        <v>0</v>
      </c>
      <c r="I48" s="7">
        <f t="shared" si="4"/>
        <v>0</v>
      </c>
      <c r="J48" s="7">
        <f t="shared" si="5"/>
        <v>100071.71</v>
      </c>
      <c r="K48" s="34">
        <f t="shared" si="19"/>
        <v>103073.8613</v>
      </c>
      <c r="L48" s="7">
        <f t="shared" si="6"/>
        <v>0</v>
      </c>
      <c r="M48" s="7">
        <f t="shared" si="7"/>
        <v>0</v>
      </c>
      <c r="N48" s="132">
        <f t="shared" si="8"/>
        <v>103073.8613</v>
      </c>
      <c r="O48" s="7">
        <f t="shared" si="20"/>
        <v>106166.077139</v>
      </c>
      <c r="P48" s="7">
        <f t="shared" si="9"/>
        <v>0</v>
      </c>
      <c r="Q48" s="7">
        <f t="shared" si="10"/>
        <v>0</v>
      </c>
      <c r="R48" s="7">
        <f t="shared" si="11"/>
        <v>106166.077139</v>
      </c>
      <c r="S48" s="34">
        <f t="shared" si="21"/>
        <v>109351.05945317</v>
      </c>
      <c r="T48" s="7">
        <f t="shared" si="12"/>
        <v>0</v>
      </c>
      <c r="U48" s="7">
        <f t="shared" si="13"/>
        <v>0</v>
      </c>
      <c r="V48" s="132">
        <f t="shared" si="14"/>
        <v>109351.05945317</v>
      </c>
      <c r="W48" s="7">
        <f t="shared" si="22"/>
        <v>112631.5912367651</v>
      </c>
      <c r="X48" s="7">
        <f t="shared" si="15"/>
        <v>0</v>
      </c>
      <c r="Y48" s="7">
        <f t="shared" si="16"/>
        <v>0</v>
      </c>
      <c r="Z48" s="8">
        <f t="shared" si="17"/>
        <v>112631.5912367651</v>
      </c>
    </row>
    <row r="49" spans="1:26" x14ac:dyDescent="0.25">
      <c r="A49" s="24" t="s">
        <v>36</v>
      </c>
      <c r="B49" s="134">
        <v>3</v>
      </c>
      <c r="C49" s="317">
        <v>103292</v>
      </c>
      <c r="D49" s="7">
        <f t="shared" si="0"/>
        <v>0</v>
      </c>
      <c r="E49" s="7">
        <f t="shared" si="1"/>
        <v>0</v>
      </c>
      <c r="F49" s="8">
        <f t="shared" si="2"/>
        <v>103292</v>
      </c>
      <c r="G49" s="7">
        <f t="shared" si="18"/>
        <v>106390.76000000001</v>
      </c>
      <c r="H49" s="7">
        <f t="shared" si="3"/>
        <v>0</v>
      </c>
      <c r="I49" s="7">
        <f t="shared" si="4"/>
        <v>0</v>
      </c>
      <c r="J49" s="7">
        <f t="shared" si="5"/>
        <v>106390.76000000001</v>
      </c>
      <c r="K49" s="34">
        <f t="shared" si="19"/>
        <v>109582.48280000001</v>
      </c>
      <c r="L49" s="7">
        <f t="shared" si="6"/>
        <v>0</v>
      </c>
      <c r="M49" s="7">
        <f t="shared" si="7"/>
        <v>0</v>
      </c>
      <c r="N49" s="132">
        <f t="shared" si="8"/>
        <v>109582.48280000001</v>
      </c>
      <c r="O49" s="7">
        <f t="shared" si="20"/>
        <v>112869.95728400002</v>
      </c>
      <c r="P49" s="7">
        <f t="shared" si="9"/>
        <v>0</v>
      </c>
      <c r="Q49" s="7">
        <f t="shared" si="10"/>
        <v>0</v>
      </c>
      <c r="R49" s="7">
        <f t="shared" si="11"/>
        <v>112869.95728400002</v>
      </c>
      <c r="S49" s="34">
        <f t="shared" si="21"/>
        <v>116256.05600252002</v>
      </c>
      <c r="T49" s="7">
        <f t="shared" si="12"/>
        <v>0</v>
      </c>
      <c r="U49" s="7">
        <f t="shared" si="13"/>
        <v>0</v>
      </c>
      <c r="V49" s="132">
        <f t="shared" si="14"/>
        <v>116256.05600252002</v>
      </c>
      <c r="W49" s="7">
        <f t="shared" si="22"/>
        <v>119743.73768259563</v>
      </c>
      <c r="X49" s="7">
        <f t="shared" si="15"/>
        <v>0</v>
      </c>
      <c r="Y49" s="7">
        <f t="shared" si="16"/>
        <v>0</v>
      </c>
      <c r="Z49" s="8">
        <f t="shared" si="17"/>
        <v>119743.73768259563</v>
      </c>
    </row>
    <row r="50" spans="1:26" x14ac:dyDescent="0.25">
      <c r="A50" s="24" t="s">
        <v>37</v>
      </c>
      <c r="B50" s="134">
        <v>4</v>
      </c>
      <c r="C50" s="317">
        <v>109418</v>
      </c>
      <c r="D50" s="7">
        <f t="shared" si="0"/>
        <v>0</v>
      </c>
      <c r="E50" s="7">
        <f t="shared" si="1"/>
        <v>0</v>
      </c>
      <c r="F50" s="8">
        <f t="shared" si="2"/>
        <v>109418</v>
      </c>
      <c r="G50" s="7">
        <f t="shared" si="18"/>
        <v>112700.54000000001</v>
      </c>
      <c r="H50" s="7">
        <f t="shared" si="3"/>
        <v>0</v>
      </c>
      <c r="I50" s="7">
        <f t="shared" si="4"/>
        <v>0</v>
      </c>
      <c r="J50" s="7">
        <f t="shared" si="5"/>
        <v>112700.54000000001</v>
      </c>
      <c r="K50" s="34">
        <f t="shared" si="19"/>
        <v>116081.55620000001</v>
      </c>
      <c r="L50" s="7">
        <f t="shared" si="6"/>
        <v>0</v>
      </c>
      <c r="M50" s="7">
        <f t="shared" si="7"/>
        <v>0</v>
      </c>
      <c r="N50" s="132">
        <f t="shared" si="8"/>
        <v>116081.55620000001</v>
      </c>
      <c r="O50" s="7">
        <f t="shared" si="20"/>
        <v>119564.00288600002</v>
      </c>
      <c r="P50" s="7">
        <f t="shared" si="9"/>
        <v>0</v>
      </c>
      <c r="Q50" s="7">
        <f t="shared" si="10"/>
        <v>0</v>
      </c>
      <c r="R50" s="7">
        <f t="shared" si="11"/>
        <v>119564.00288600002</v>
      </c>
      <c r="S50" s="34">
        <f t="shared" si="21"/>
        <v>123150.92297258003</v>
      </c>
      <c r="T50" s="7">
        <f t="shared" si="12"/>
        <v>0</v>
      </c>
      <c r="U50" s="7">
        <f t="shared" si="13"/>
        <v>0</v>
      </c>
      <c r="V50" s="132">
        <f t="shared" si="14"/>
        <v>123150.92297258003</v>
      </c>
      <c r="W50" s="7">
        <f t="shared" si="22"/>
        <v>126845.45066175742</v>
      </c>
      <c r="X50" s="7">
        <f t="shared" si="15"/>
        <v>0</v>
      </c>
      <c r="Y50" s="7">
        <f t="shared" si="16"/>
        <v>0</v>
      </c>
      <c r="Z50" s="8">
        <f t="shared" si="17"/>
        <v>126845.45066175742</v>
      </c>
    </row>
    <row r="51" spans="1:26" x14ac:dyDescent="0.25">
      <c r="A51" s="24" t="s">
        <v>38</v>
      </c>
      <c r="B51" s="134">
        <v>5</v>
      </c>
      <c r="C51" s="317">
        <v>115551</v>
      </c>
      <c r="D51" s="7">
        <f t="shared" si="0"/>
        <v>0</v>
      </c>
      <c r="E51" s="7">
        <f t="shared" si="1"/>
        <v>0</v>
      </c>
      <c r="F51" s="8">
        <f t="shared" si="2"/>
        <v>115551</v>
      </c>
      <c r="G51" s="7">
        <f t="shared" si="18"/>
        <v>119017.53</v>
      </c>
      <c r="H51" s="7">
        <f t="shared" si="3"/>
        <v>0</v>
      </c>
      <c r="I51" s="7">
        <f t="shared" si="4"/>
        <v>0</v>
      </c>
      <c r="J51" s="7">
        <f t="shared" si="5"/>
        <v>119017.53</v>
      </c>
      <c r="K51" s="34">
        <f t="shared" si="19"/>
        <v>122588.05590000001</v>
      </c>
      <c r="L51" s="7">
        <f t="shared" si="6"/>
        <v>0</v>
      </c>
      <c r="M51" s="7">
        <f t="shared" si="7"/>
        <v>0</v>
      </c>
      <c r="N51" s="132">
        <f t="shared" si="8"/>
        <v>122588.05590000001</v>
      </c>
      <c r="O51" s="7">
        <f t="shared" si="20"/>
        <v>126265.69757700001</v>
      </c>
      <c r="P51" s="7">
        <f t="shared" si="9"/>
        <v>0</v>
      </c>
      <c r="Q51" s="7">
        <f t="shared" si="10"/>
        <v>0</v>
      </c>
      <c r="R51" s="7">
        <f t="shared" si="11"/>
        <v>126265.69757700001</v>
      </c>
      <c r="S51" s="34">
        <f t="shared" si="21"/>
        <v>130053.66850431002</v>
      </c>
      <c r="T51" s="7">
        <f t="shared" si="12"/>
        <v>0</v>
      </c>
      <c r="U51" s="7">
        <f t="shared" si="13"/>
        <v>0</v>
      </c>
      <c r="V51" s="132">
        <f t="shared" si="14"/>
        <v>130053.66850431002</v>
      </c>
      <c r="W51" s="7">
        <f t="shared" si="22"/>
        <v>133955.27855943932</v>
      </c>
      <c r="X51" s="7">
        <f t="shared" si="15"/>
        <v>0</v>
      </c>
      <c r="Y51" s="7">
        <f t="shared" si="16"/>
        <v>0</v>
      </c>
      <c r="Z51" s="8">
        <f t="shared" si="17"/>
        <v>133955.27855943932</v>
      </c>
    </row>
    <row r="52" spans="1:26" x14ac:dyDescent="0.25">
      <c r="A52" s="24" t="s">
        <v>39</v>
      </c>
      <c r="B52" s="134">
        <v>6</v>
      </c>
      <c r="C52" s="317">
        <v>121677</v>
      </c>
      <c r="D52" s="7">
        <f t="shared" si="0"/>
        <v>0</v>
      </c>
      <c r="E52" s="7">
        <f t="shared" si="1"/>
        <v>0</v>
      </c>
      <c r="F52" s="8">
        <f t="shared" si="2"/>
        <v>121677</v>
      </c>
      <c r="G52" s="7">
        <f t="shared" si="18"/>
        <v>125327.31</v>
      </c>
      <c r="H52" s="7">
        <f t="shared" si="3"/>
        <v>0</v>
      </c>
      <c r="I52" s="7">
        <f t="shared" si="4"/>
        <v>0</v>
      </c>
      <c r="J52" s="7">
        <f t="shared" si="5"/>
        <v>125327.31</v>
      </c>
      <c r="K52" s="34">
        <f t="shared" si="19"/>
        <v>129087.1293</v>
      </c>
      <c r="L52" s="7">
        <f t="shared" si="6"/>
        <v>0</v>
      </c>
      <c r="M52" s="7">
        <f t="shared" si="7"/>
        <v>0</v>
      </c>
      <c r="N52" s="132">
        <f t="shared" si="8"/>
        <v>129087.1293</v>
      </c>
      <c r="O52" s="7">
        <f t="shared" si="20"/>
        <v>132959.74317900001</v>
      </c>
      <c r="P52" s="7">
        <f t="shared" si="9"/>
        <v>0</v>
      </c>
      <c r="Q52" s="7">
        <f t="shared" si="10"/>
        <v>0</v>
      </c>
      <c r="R52" s="7">
        <f t="shared" si="11"/>
        <v>132959.74317900001</v>
      </c>
      <c r="S52" s="34">
        <f t="shared" si="21"/>
        <v>136948.53547437003</v>
      </c>
      <c r="T52" s="7">
        <f t="shared" si="12"/>
        <v>0</v>
      </c>
      <c r="U52" s="7">
        <f t="shared" si="13"/>
        <v>0</v>
      </c>
      <c r="V52" s="132">
        <f t="shared" si="14"/>
        <v>136948.53547437003</v>
      </c>
      <c r="W52" s="7">
        <f t="shared" si="22"/>
        <v>141056.99153860114</v>
      </c>
      <c r="X52" s="7">
        <f t="shared" si="15"/>
        <v>0</v>
      </c>
      <c r="Y52" s="7">
        <f t="shared" si="16"/>
        <v>0</v>
      </c>
      <c r="Z52" s="8">
        <f t="shared" si="17"/>
        <v>141056.99153860114</v>
      </c>
    </row>
    <row r="53" spans="1:26" x14ac:dyDescent="0.25">
      <c r="A53" s="119" t="s">
        <v>266</v>
      </c>
      <c r="B53" s="134"/>
      <c r="C53" s="34">
        <v>0</v>
      </c>
      <c r="D53" s="7"/>
      <c r="E53" s="7"/>
      <c r="F53" s="8"/>
      <c r="G53" s="7"/>
      <c r="H53" s="7"/>
      <c r="I53" s="7"/>
      <c r="J53" s="7">
        <f>$J$52</f>
        <v>125327.31</v>
      </c>
      <c r="K53" s="34">
        <v>118718.56768750002</v>
      </c>
      <c r="L53" s="7">
        <v>13118.401729468753</v>
      </c>
      <c r="M53" s="7">
        <v>11871.856768750004</v>
      </c>
      <c r="N53" s="132">
        <f>$N$52</f>
        <v>129087.1293</v>
      </c>
      <c r="O53" s="7">
        <v>120796.14262203129</v>
      </c>
      <c r="P53" s="7">
        <v>13347.973759734457</v>
      </c>
      <c r="Q53" s="7">
        <v>12079.614262203129</v>
      </c>
      <c r="R53" s="7">
        <f>$R$52</f>
        <v>132959.74317900001</v>
      </c>
      <c r="S53" s="34">
        <v>122910.07511791684</v>
      </c>
      <c r="T53" s="7">
        <v>13581.563300529811</v>
      </c>
      <c r="U53" s="7">
        <v>12291.007511791686</v>
      </c>
      <c r="V53" s="132">
        <f>$V$52</f>
        <v>136948.53547437003</v>
      </c>
      <c r="W53" s="7">
        <v>125061.00143248039</v>
      </c>
      <c r="X53" s="7">
        <v>13819.240658289084</v>
      </c>
      <c r="Y53" s="7">
        <v>12506.100143248041</v>
      </c>
      <c r="Z53" s="8">
        <f>$Z$52</f>
        <v>141056.99153860114</v>
      </c>
    </row>
    <row r="54" spans="1:26" x14ac:dyDescent="0.25">
      <c r="A54" s="119" t="s">
        <v>266</v>
      </c>
      <c r="B54" s="134"/>
      <c r="C54" s="34">
        <v>0</v>
      </c>
      <c r="D54" s="7"/>
      <c r="E54" s="7"/>
      <c r="F54" s="8"/>
      <c r="G54" s="7"/>
      <c r="H54" s="7"/>
      <c r="I54" s="7"/>
      <c r="J54" s="7">
        <f t="shared" ref="J54:J58" si="38">$J$52</f>
        <v>125327.31</v>
      </c>
      <c r="K54" s="34">
        <v>118718.56768750002</v>
      </c>
      <c r="L54" s="7">
        <v>13118.401729468753</v>
      </c>
      <c r="M54" s="7">
        <v>11871.856768750004</v>
      </c>
      <c r="N54" s="132">
        <f t="shared" ref="N54:N58" si="39">$N$52</f>
        <v>129087.1293</v>
      </c>
      <c r="O54" s="7">
        <v>120796.14262203129</v>
      </c>
      <c r="P54" s="7">
        <v>13347.973759734457</v>
      </c>
      <c r="Q54" s="7">
        <v>12079.614262203129</v>
      </c>
      <c r="R54" s="7">
        <f t="shared" ref="R54:R58" si="40">$R$52</f>
        <v>132959.74317900001</v>
      </c>
      <c r="S54" s="34">
        <v>122910.07511791684</v>
      </c>
      <c r="T54" s="7">
        <v>13581.563300529811</v>
      </c>
      <c r="U54" s="7">
        <v>12291.007511791686</v>
      </c>
      <c r="V54" s="132">
        <f t="shared" ref="V54:V58" si="41">$V$52</f>
        <v>136948.53547437003</v>
      </c>
      <c r="W54" s="7">
        <v>125061.00143248039</v>
      </c>
      <c r="X54" s="7">
        <v>13819.240658289084</v>
      </c>
      <c r="Y54" s="7">
        <v>12506.100143248041</v>
      </c>
      <c r="Z54" s="8">
        <f t="shared" ref="Z54:Z58" si="42">$Z$52</f>
        <v>141056.99153860114</v>
      </c>
    </row>
    <row r="55" spans="1:26" x14ac:dyDescent="0.25">
      <c r="A55" s="119" t="s">
        <v>266</v>
      </c>
      <c r="B55" s="134"/>
      <c r="C55" s="34">
        <v>0</v>
      </c>
      <c r="D55" s="7"/>
      <c r="E55" s="7"/>
      <c r="F55" s="8"/>
      <c r="G55" s="7"/>
      <c r="H55" s="7"/>
      <c r="I55" s="7"/>
      <c r="J55" s="7">
        <f t="shared" si="38"/>
        <v>125327.31</v>
      </c>
      <c r="K55" s="34">
        <v>118718.56768750002</v>
      </c>
      <c r="L55" s="7">
        <v>13118.401729468753</v>
      </c>
      <c r="M55" s="7">
        <v>11871.856768750004</v>
      </c>
      <c r="N55" s="132">
        <f t="shared" si="39"/>
        <v>129087.1293</v>
      </c>
      <c r="O55" s="7">
        <v>120796.14262203129</v>
      </c>
      <c r="P55" s="7">
        <v>13347.973759734457</v>
      </c>
      <c r="Q55" s="7">
        <v>12079.614262203129</v>
      </c>
      <c r="R55" s="7">
        <f t="shared" si="40"/>
        <v>132959.74317900001</v>
      </c>
      <c r="S55" s="34">
        <v>122910.07511791684</v>
      </c>
      <c r="T55" s="7">
        <v>13581.563300529811</v>
      </c>
      <c r="U55" s="7">
        <v>12291.007511791686</v>
      </c>
      <c r="V55" s="132">
        <f t="shared" si="41"/>
        <v>136948.53547437003</v>
      </c>
      <c r="W55" s="7">
        <v>125061.00143248039</v>
      </c>
      <c r="X55" s="7">
        <v>13819.240658289084</v>
      </c>
      <c r="Y55" s="7">
        <v>12506.100143248041</v>
      </c>
      <c r="Z55" s="8">
        <f t="shared" si="42"/>
        <v>141056.99153860114</v>
      </c>
    </row>
    <row r="56" spans="1:26" x14ac:dyDescent="0.25">
      <c r="A56" s="119" t="s">
        <v>266</v>
      </c>
      <c r="B56" s="134"/>
      <c r="C56" s="34">
        <v>0</v>
      </c>
      <c r="D56" s="7"/>
      <c r="E56" s="7"/>
      <c r="F56" s="8"/>
      <c r="G56" s="7"/>
      <c r="H56" s="7"/>
      <c r="I56" s="7"/>
      <c r="J56" s="7">
        <f t="shared" si="38"/>
        <v>125327.31</v>
      </c>
      <c r="K56" s="34">
        <v>118718.56768750002</v>
      </c>
      <c r="L56" s="7">
        <v>13118.401729468753</v>
      </c>
      <c r="M56" s="7">
        <v>11871.856768750004</v>
      </c>
      <c r="N56" s="132">
        <f t="shared" si="39"/>
        <v>129087.1293</v>
      </c>
      <c r="O56" s="7">
        <v>120796.14262203129</v>
      </c>
      <c r="P56" s="7">
        <v>13347.973759734457</v>
      </c>
      <c r="Q56" s="7">
        <v>12079.614262203129</v>
      </c>
      <c r="R56" s="7">
        <f t="shared" si="40"/>
        <v>132959.74317900001</v>
      </c>
      <c r="S56" s="34">
        <v>122910.07511791684</v>
      </c>
      <c r="T56" s="7">
        <v>13581.563300529811</v>
      </c>
      <c r="U56" s="7">
        <v>12291.007511791686</v>
      </c>
      <c r="V56" s="132">
        <f t="shared" si="41"/>
        <v>136948.53547437003</v>
      </c>
      <c r="W56" s="7">
        <v>125061.00143248039</v>
      </c>
      <c r="X56" s="7">
        <v>13819.240658289084</v>
      </c>
      <c r="Y56" s="7">
        <v>12506.100143248041</v>
      </c>
      <c r="Z56" s="8">
        <f t="shared" si="42"/>
        <v>141056.99153860114</v>
      </c>
    </row>
    <row r="57" spans="1:26" x14ac:dyDescent="0.25">
      <c r="A57" s="119" t="s">
        <v>266</v>
      </c>
      <c r="B57" s="134"/>
      <c r="C57" s="34">
        <v>0</v>
      </c>
      <c r="D57" s="7"/>
      <c r="E57" s="7"/>
      <c r="F57" s="8"/>
      <c r="G57" s="7"/>
      <c r="H57" s="7"/>
      <c r="I57" s="7"/>
      <c r="J57" s="7">
        <f t="shared" si="38"/>
        <v>125327.31</v>
      </c>
      <c r="K57" s="34">
        <v>118718.56768750002</v>
      </c>
      <c r="L57" s="7">
        <v>13118.401729468753</v>
      </c>
      <c r="M57" s="7">
        <v>11871.856768750004</v>
      </c>
      <c r="N57" s="132">
        <f t="shared" si="39"/>
        <v>129087.1293</v>
      </c>
      <c r="O57" s="7">
        <v>120796.14262203129</v>
      </c>
      <c r="P57" s="7">
        <v>13347.973759734457</v>
      </c>
      <c r="Q57" s="7">
        <v>12079.614262203129</v>
      </c>
      <c r="R57" s="7">
        <f t="shared" si="40"/>
        <v>132959.74317900001</v>
      </c>
      <c r="S57" s="34">
        <v>122910.07511791684</v>
      </c>
      <c r="T57" s="7">
        <v>13581.563300529811</v>
      </c>
      <c r="U57" s="7">
        <v>12291.007511791686</v>
      </c>
      <c r="V57" s="132">
        <f t="shared" si="41"/>
        <v>136948.53547437003</v>
      </c>
      <c r="W57" s="7">
        <v>125061.00143248039</v>
      </c>
      <c r="X57" s="7">
        <v>13819.240658289084</v>
      </c>
      <c r="Y57" s="7">
        <v>12506.100143248041</v>
      </c>
      <c r="Z57" s="8">
        <f t="shared" si="42"/>
        <v>141056.99153860114</v>
      </c>
    </row>
    <row r="58" spans="1:26" ht="15.75" thickBot="1" x14ac:dyDescent="0.3">
      <c r="A58" s="119" t="s">
        <v>266</v>
      </c>
      <c r="B58" s="134"/>
      <c r="C58" s="34">
        <v>0</v>
      </c>
      <c r="D58" s="7"/>
      <c r="E58" s="7"/>
      <c r="F58" s="8"/>
      <c r="G58" s="7"/>
      <c r="H58" s="7"/>
      <c r="I58" s="7"/>
      <c r="J58" s="7">
        <f t="shared" si="38"/>
        <v>125327.31</v>
      </c>
      <c r="K58" s="34">
        <v>118718.56768750002</v>
      </c>
      <c r="L58" s="7">
        <v>13118.401729468753</v>
      </c>
      <c r="M58" s="7">
        <v>11871.856768750004</v>
      </c>
      <c r="N58" s="132">
        <f t="shared" si="39"/>
        <v>129087.1293</v>
      </c>
      <c r="O58" s="7">
        <v>120796.14262203129</v>
      </c>
      <c r="P58" s="7">
        <v>13347.973759734457</v>
      </c>
      <c r="Q58" s="7">
        <v>12079.614262203129</v>
      </c>
      <c r="R58" s="7">
        <f t="shared" si="40"/>
        <v>132959.74317900001</v>
      </c>
      <c r="S58" s="34">
        <v>122910.07511791684</v>
      </c>
      <c r="T58" s="7">
        <v>13581.563300529811</v>
      </c>
      <c r="U58" s="7">
        <v>12291.007511791686</v>
      </c>
      <c r="V58" s="132">
        <f t="shared" si="41"/>
        <v>136948.53547437003</v>
      </c>
      <c r="W58" s="7">
        <v>125061.00143248039</v>
      </c>
      <c r="X58" s="7">
        <v>13819.240658289084</v>
      </c>
      <c r="Y58" s="7">
        <v>12506.100143248041</v>
      </c>
      <c r="Z58" s="8">
        <f t="shared" si="42"/>
        <v>141056.99153860114</v>
      </c>
    </row>
    <row r="59" spans="1:26" x14ac:dyDescent="0.25">
      <c r="A59" s="26" t="s">
        <v>40</v>
      </c>
      <c r="B59" s="133">
        <v>1</v>
      </c>
      <c r="C59" s="316">
        <v>77175</v>
      </c>
      <c r="D59" s="28">
        <f t="shared" si="0"/>
        <v>0</v>
      </c>
      <c r="E59" s="28">
        <f t="shared" si="1"/>
        <v>0</v>
      </c>
      <c r="F59" s="29">
        <f t="shared" si="2"/>
        <v>77175</v>
      </c>
      <c r="G59" s="28">
        <f t="shared" si="18"/>
        <v>79490.25</v>
      </c>
      <c r="H59" s="28">
        <f t="shared" si="3"/>
        <v>0</v>
      </c>
      <c r="I59" s="28">
        <f t="shared" si="4"/>
        <v>0</v>
      </c>
      <c r="J59" s="28">
        <f t="shared" si="5"/>
        <v>79490.25</v>
      </c>
      <c r="K59" s="37">
        <f t="shared" si="19"/>
        <v>81874.957500000004</v>
      </c>
      <c r="L59" s="28">
        <f t="shared" si="6"/>
        <v>0</v>
      </c>
      <c r="M59" s="28">
        <f t="shared" si="7"/>
        <v>0</v>
      </c>
      <c r="N59" s="131">
        <f t="shared" si="8"/>
        <v>81874.957500000004</v>
      </c>
      <c r="O59" s="28">
        <f t="shared" si="20"/>
        <v>84331.206225000002</v>
      </c>
      <c r="P59" s="28">
        <f t="shared" si="9"/>
        <v>0</v>
      </c>
      <c r="Q59" s="28">
        <f t="shared" si="10"/>
        <v>0</v>
      </c>
      <c r="R59" s="28">
        <f t="shared" si="11"/>
        <v>84331.206225000002</v>
      </c>
      <c r="S59" s="37">
        <f t="shared" si="21"/>
        <v>86861.142411749999</v>
      </c>
      <c r="T59" s="28">
        <f t="shared" si="12"/>
        <v>0</v>
      </c>
      <c r="U59" s="28">
        <f t="shared" si="13"/>
        <v>0</v>
      </c>
      <c r="V59" s="131">
        <f t="shared" si="14"/>
        <v>86861.142411749999</v>
      </c>
      <c r="W59" s="28">
        <f t="shared" si="22"/>
        <v>89466.976684102498</v>
      </c>
      <c r="X59" s="28">
        <f t="shared" si="15"/>
        <v>0</v>
      </c>
      <c r="Y59" s="28">
        <f t="shared" si="16"/>
        <v>0</v>
      </c>
      <c r="Z59" s="29">
        <f t="shared" si="17"/>
        <v>89466.976684102498</v>
      </c>
    </row>
    <row r="60" spans="1:26" x14ac:dyDescent="0.25">
      <c r="A60" s="24" t="s">
        <v>41</v>
      </c>
      <c r="B60" s="134">
        <v>2</v>
      </c>
      <c r="C60" s="317">
        <v>81740</v>
      </c>
      <c r="D60" s="7">
        <f t="shared" si="0"/>
        <v>0</v>
      </c>
      <c r="E60" s="7">
        <f t="shared" si="1"/>
        <v>0</v>
      </c>
      <c r="F60" s="8">
        <f t="shared" si="2"/>
        <v>81740</v>
      </c>
      <c r="G60" s="7">
        <f t="shared" si="18"/>
        <v>84192.2</v>
      </c>
      <c r="H60" s="7">
        <f t="shared" si="3"/>
        <v>0</v>
      </c>
      <c r="I60" s="7">
        <f t="shared" si="4"/>
        <v>0</v>
      </c>
      <c r="J60" s="7">
        <f t="shared" si="5"/>
        <v>84192.2</v>
      </c>
      <c r="K60" s="34">
        <f t="shared" si="19"/>
        <v>86717.966</v>
      </c>
      <c r="L60" s="7">
        <f t="shared" si="6"/>
        <v>0</v>
      </c>
      <c r="M60" s="7">
        <f t="shared" si="7"/>
        <v>0</v>
      </c>
      <c r="N60" s="132">
        <f t="shared" si="8"/>
        <v>86717.966</v>
      </c>
      <c r="O60" s="7">
        <f t="shared" si="20"/>
        <v>89319.504979999998</v>
      </c>
      <c r="P60" s="7">
        <f t="shared" si="9"/>
        <v>0</v>
      </c>
      <c r="Q60" s="7">
        <f t="shared" si="10"/>
        <v>0</v>
      </c>
      <c r="R60" s="7">
        <f t="shared" si="11"/>
        <v>89319.504979999998</v>
      </c>
      <c r="S60" s="34">
        <f t="shared" si="21"/>
        <v>91999.090129400007</v>
      </c>
      <c r="T60" s="7">
        <f t="shared" si="12"/>
        <v>0</v>
      </c>
      <c r="U60" s="7">
        <f t="shared" si="13"/>
        <v>0</v>
      </c>
      <c r="V60" s="132">
        <f t="shared" si="14"/>
        <v>91999.090129400007</v>
      </c>
      <c r="W60" s="7">
        <f t="shared" si="22"/>
        <v>94759.062833282005</v>
      </c>
      <c r="X60" s="7">
        <f t="shared" si="15"/>
        <v>0</v>
      </c>
      <c r="Y60" s="7">
        <f t="shared" si="16"/>
        <v>0</v>
      </c>
      <c r="Z60" s="8">
        <f t="shared" si="17"/>
        <v>94759.062833282005</v>
      </c>
    </row>
    <row r="61" spans="1:26" x14ac:dyDescent="0.25">
      <c r="A61" s="24" t="s">
        <v>42</v>
      </c>
      <c r="B61" s="134">
        <v>3</v>
      </c>
      <c r="C61" s="317">
        <v>86294</v>
      </c>
      <c r="D61" s="7">
        <f t="shared" si="0"/>
        <v>0</v>
      </c>
      <c r="E61" s="7">
        <f t="shared" si="1"/>
        <v>0</v>
      </c>
      <c r="F61" s="8">
        <f t="shared" si="2"/>
        <v>86294</v>
      </c>
      <c r="G61" s="7">
        <f t="shared" si="18"/>
        <v>88882.82</v>
      </c>
      <c r="H61" s="7">
        <f t="shared" si="3"/>
        <v>0</v>
      </c>
      <c r="I61" s="7">
        <f t="shared" si="4"/>
        <v>0</v>
      </c>
      <c r="J61" s="7">
        <f t="shared" si="5"/>
        <v>88882.82</v>
      </c>
      <c r="K61" s="34">
        <f t="shared" si="19"/>
        <v>91549.304600000003</v>
      </c>
      <c r="L61" s="7">
        <f t="shared" si="6"/>
        <v>0</v>
      </c>
      <c r="M61" s="7">
        <f t="shared" si="7"/>
        <v>0</v>
      </c>
      <c r="N61" s="132">
        <f t="shared" si="8"/>
        <v>91549.304600000003</v>
      </c>
      <c r="O61" s="7">
        <f t="shared" si="20"/>
        <v>94295.783738000013</v>
      </c>
      <c r="P61" s="7">
        <f t="shared" si="9"/>
        <v>0</v>
      </c>
      <c r="Q61" s="7">
        <f t="shared" si="10"/>
        <v>0</v>
      </c>
      <c r="R61" s="7">
        <f t="shared" si="11"/>
        <v>94295.783738000013</v>
      </c>
      <c r="S61" s="34">
        <f t="shared" si="21"/>
        <v>97124.657250140022</v>
      </c>
      <c r="T61" s="7">
        <f t="shared" si="12"/>
        <v>0</v>
      </c>
      <c r="U61" s="7">
        <f t="shared" si="13"/>
        <v>0</v>
      </c>
      <c r="V61" s="132">
        <f t="shared" si="14"/>
        <v>97124.657250140022</v>
      </c>
      <c r="W61" s="7">
        <f t="shared" si="22"/>
        <v>100038.39696764422</v>
      </c>
      <c r="X61" s="7">
        <f t="shared" si="15"/>
        <v>0</v>
      </c>
      <c r="Y61" s="7">
        <f t="shared" si="16"/>
        <v>0</v>
      </c>
      <c r="Z61" s="8">
        <f t="shared" si="17"/>
        <v>100038.39696764422</v>
      </c>
    </row>
    <row r="62" spans="1:26" x14ac:dyDescent="0.25">
      <c r="A62" s="24" t="s">
        <v>43</v>
      </c>
      <c r="B62" s="134">
        <v>4</v>
      </c>
      <c r="C62" s="317">
        <v>90826</v>
      </c>
      <c r="D62" s="7">
        <f t="shared" si="0"/>
        <v>0</v>
      </c>
      <c r="E62" s="7">
        <f t="shared" si="1"/>
        <v>0</v>
      </c>
      <c r="F62" s="8">
        <f t="shared" si="2"/>
        <v>90826</v>
      </c>
      <c r="G62" s="7">
        <f t="shared" si="18"/>
        <v>93550.78</v>
      </c>
      <c r="H62" s="7">
        <f t="shared" si="3"/>
        <v>0</v>
      </c>
      <c r="I62" s="7">
        <f t="shared" si="4"/>
        <v>0</v>
      </c>
      <c r="J62" s="7">
        <f t="shared" si="5"/>
        <v>93550.78</v>
      </c>
      <c r="K62" s="34">
        <f t="shared" si="19"/>
        <v>96357.303400000004</v>
      </c>
      <c r="L62" s="7">
        <f t="shared" si="6"/>
        <v>0</v>
      </c>
      <c r="M62" s="7">
        <f t="shared" si="7"/>
        <v>0</v>
      </c>
      <c r="N62" s="132">
        <f t="shared" si="8"/>
        <v>96357.303400000004</v>
      </c>
      <c r="O62" s="7">
        <f t="shared" si="20"/>
        <v>99248.022502000007</v>
      </c>
      <c r="P62" s="7">
        <f t="shared" si="9"/>
        <v>0</v>
      </c>
      <c r="Q62" s="7">
        <f t="shared" si="10"/>
        <v>0</v>
      </c>
      <c r="R62" s="7">
        <f t="shared" si="11"/>
        <v>99248.022502000007</v>
      </c>
      <c r="S62" s="34">
        <f t="shared" si="21"/>
        <v>102225.46317706001</v>
      </c>
      <c r="T62" s="7">
        <f t="shared" si="12"/>
        <v>0</v>
      </c>
      <c r="U62" s="7">
        <f t="shared" si="13"/>
        <v>0</v>
      </c>
      <c r="V62" s="132">
        <f t="shared" si="14"/>
        <v>102225.46317706001</v>
      </c>
      <c r="W62" s="7">
        <f t="shared" si="22"/>
        <v>105292.22707237181</v>
      </c>
      <c r="X62" s="7">
        <f t="shared" si="15"/>
        <v>0</v>
      </c>
      <c r="Y62" s="7">
        <f t="shared" si="16"/>
        <v>0</v>
      </c>
      <c r="Z62" s="8">
        <f t="shared" si="17"/>
        <v>105292.22707237181</v>
      </c>
    </row>
    <row r="63" spans="1:26" x14ac:dyDescent="0.25">
      <c r="A63" s="24" t="s">
        <v>44</v>
      </c>
      <c r="B63" s="134">
        <v>5</v>
      </c>
      <c r="C63" s="317">
        <v>95371</v>
      </c>
      <c r="D63" s="7">
        <f t="shared" si="0"/>
        <v>0</v>
      </c>
      <c r="E63" s="7">
        <f t="shared" si="1"/>
        <v>0</v>
      </c>
      <c r="F63" s="8">
        <f t="shared" si="2"/>
        <v>95371</v>
      </c>
      <c r="G63" s="7">
        <f t="shared" si="18"/>
        <v>98232.13</v>
      </c>
      <c r="H63" s="7">
        <f t="shared" si="3"/>
        <v>0</v>
      </c>
      <c r="I63" s="7">
        <f t="shared" si="4"/>
        <v>0</v>
      </c>
      <c r="J63" s="7">
        <f t="shared" si="5"/>
        <v>98232.13</v>
      </c>
      <c r="K63" s="34">
        <f t="shared" si="19"/>
        <v>101179.09390000001</v>
      </c>
      <c r="L63" s="7">
        <f t="shared" si="6"/>
        <v>0</v>
      </c>
      <c r="M63" s="7">
        <f t="shared" si="7"/>
        <v>0</v>
      </c>
      <c r="N63" s="132">
        <f t="shared" si="8"/>
        <v>101179.09390000001</v>
      </c>
      <c r="O63" s="7">
        <f t="shared" si="20"/>
        <v>104214.466717</v>
      </c>
      <c r="P63" s="7">
        <f t="shared" si="9"/>
        <v>0</v>
      </c>
      <c r="Q63" s="7">
        <f t="shared" si="10"/>
        <v>0</v>
      </c>
      <c r="R63" s="7">
        <f t="shared" si="11"/>
        <v>104214.466717</v>
      </c>
      <c r="S63" s="34">
        <f t="shared" si="21"/>
        <v>107340.90071851001</v>
      </c>
      <c r="T63" s="7">
        <f t="shared" si="12"/>
        <v>0</v>
      </c>
      <c r="U63" s="7">
        <f t="shared" si="13"/>
        <v>0</v>
      </c>
      <c r="V63" s="132">
        <f t="shared" si="14"/>
        <v>107340.90071851001</v>
      </c>
      <c r="W63" s="7">
        <f t="shared" si="22"/>
        <v>110561.12774006531</v>
      </c>
      <c r="X63" s="7">
        <f t="shared" si="15"/>
        <v>0</v>
      </c>
      <c r="Y63" s="7">
        <f t="shared" si="16"/>
        <v>0</v>
      </c>
      <c r="Z63" s="8">
        <f t="shared" si="17"/>
        <v>110561.12774006531</v>
      </c>
    </row>
    <row r="64" spans="1:26" x14ac:dyDescent="0.25">
      <c r="A64" s="24" t="s">
        <v>45</v>
      </c>
      <c r="B64" s="134">
        <v>6</v>
      </c>
      <c r="C64" s="317">
        <v>99930</v>
      </c>
      <c r="D64" s="7">
        <f t="shared" si="0"/>
        <v>0</v>
      </c>
      <c r="E64" s="7">
        <f t="shared" si="1"/>
        <v>0</v>
      </c>
      <c r="F64" s="8">
        <f t="shared" si="2"/>
        <v>99930</v>
      </c>
      <c r="G64" s="7">
        <f t="shared" si="18"/>
        <v>102927.90000000001</v>
      </c>
      <c r="H64" s="7">
        <f t="shared" si="3"/>
        <v>0</v>
      </c>
      <c r="I64" s="7">
        <f t="shared" si="4"/>
        <v>0</v>
      </c>
      <c r="J64" s="7">
        <f t="shared" si="5"/>
        <v>102927.90000000001</v>
      </c>
      <c r="K64" s="34">
        <f t="shared" si="19"/>
        <v>106015.73700000001</v>
      </c>
      <c r="L64" s="7">
        <f t="shared" si="6"/>
        <v>0</v>
      </c>
      <c r="M64" s="7">
        <f t="shared" si="7"/>
        <v>0</v>
      </c>
      <c r="N64" s="132">
        <f t="shared" si="8"/>
        <v>106015.73700000001</v>
      </c>
      <c r="O64" s="7">
        <f t="shared" si="20"/>
        <v>109196.20911000001</v>
      </c>
      <c r="P64" s="7">
        <f t="shared" si="9"/>
        <v>0</v>
      </c>
      <c r="Q64" s="7">
        <f t="shared" si="10"/>
        <v>0</v>
      </c>
      <c r="R64" s="7">
        <f t="shared" si="11"/>
        <v>109196.20911000001</v>
      </c>
      <c r="S64" s="34">
        <f t="shared" si="21"/>
        <v>112472.09538330001</v>
      </c>
      <c r="T64" s="7">
        <f t="shared" si="12"/>
        <v>0</v>
      </c>
      <c r="U64" s="7">
        <f t="shared" si="13"/>
        <v>0</v>
      </c>
      <c r="V64" s="132">
        <f t="shared" si="14"/>
        <v>112472.09538330001</v>
      </c>
      <c r="W64" s="7">
        <f t="shared" si="22"/>
        <v>115846.25824479901</v>
      </c>
      <c r="X64" s="7">
        <f t="shared" si="15"/>
        <v>0</v>
      </c>
      <c r="Y64" s="7">
        <f t="shared" si="16"/>
        <v>0</v>
      </c>
      <c r="Z64" s="8">
        <f t="shared" si="17"/>
        <v>115846.25824479901</v>
      </c>
    </row>
    <row r="65" spans="1:26" x14ac:dyDescent="0.25">
      <c r="A65" s="24" t="s">
        <v>46</v>
      </c>
      <c r="B65" s="134">
        <v>7</v>
      </c>
      <c r="C65" s="317">
        <v>104470</v>
      </c>
      <c r="D65" s="7">
        <f t="shared" si="0"/>
        <v>0</v>
      </c>
      <c r="E65" s="7">
        <f t="shared" si="1"/>
        <v>0</v>
      </c>
      <c r="F65" s="8">
        <f t="shared" si="2"/>
        <v>104470</v>
      </c>
      <c r="G65" s="7">
        <f t="shared" si="18"/>
        <v>107604.1</v>
      </c>
      <c r="H65" s="7">
        <f t="shared" si="3"/>
        <v>0</v>
      </c>
      <c r="I65" s="7">
        <f t="shared" si="4"/>
        <v>0</v>
      </c>
      <c r="J65" s="7">
        <f t="shared" si="5"/>
        <v>107604.1</v>
      </c>
      <c r="K65" s="34">
        <f t="shared" si="19"/>
        <v>110832.22300000001</v>
      </c>
      <c r="L65" s="7">
        <f t="shared" si="6"/>
        <v>0</v>
      </c>
      <c r="M65" s="7">
        <f t="shared" si="7"/>
        <v>0</v>
      </c>
      <c r="N65" s="132">
        <f t="shared" si="8"/>
        <v>110832.22300000001</v>
      </c>
      <c r="O65" s="7">
        <f t="shared" si="20"/>
        <v>114157.18969000001</v>
      </c>
      <c r="P65" s="7">
        <f t="shared" si="9"/>
        <v>0</v>
      </c>
      <c r="Q65" s="7">
        <f t="shared" si="10"/>
        <v>0</v>
      </c>
      <c r="R65" s="7">
        <f t="shared" si="11"/>
        <v>114157.18969000001</v>
      </c>
      <c r="S65" s="34">
        <f t="shared" si="21"/>
        <v>117581.90538070002</v>
      </c>
      <c r="T65" s="7">
        <f t="shared" si="12"/>
        <v>0</v>
      </c>
      <c r="U65" s="7">
        <f t="shared" si="13"/>
        <v>0</v>
      </c>
      <c r="V65" s="132">
        <f t="shared" si="14"/>
        <v>117581.90538070002</v>
      </c>
      <c r="W65" s="7">
        <f t="shared" si="22"/>
        <v>121109.36254212102</v>
      </c>
      <c r="X65" s="7">
        <f t="shared" si="15"/>
        <v>0</v>
      </c>
      <c r="Y65" s="7">
        <f t="shared" si="16"/>
        <v>0</v>
      </c>
      <c r="Z65" s="8">
        <f t="shared" si="17"/>
        <v>121109.36254212102</v>
      </c>
    </row>
    <row r="66" spans="1:26" x14ac:dyDescent="0.25">
      <c r="A66" s="24" t="s">
        <v>47</v>
      </c>
      <c r="B66" s="134">
        <v>8</v>
      </c>
      <c r="C66" s="317">
        <v>108988</v>
      </c>
      <c r="D66" s="7">
        <f t="shared" si="0"/>
        <v>0</v>
      </c>
      <c r="E66" s="7">
        <f t="shared" si="1"/>
        <v>0</v>
      </c>
      <c r="F66" s="8">
        <f t="shared" si="2"/>
        <v>108988</v>
      </c>
      <c r="G66" s="7">
        <f t="shared" si="18"/>
        <v>112257.64</v>
      </c>
      <c r="H66" s="7">
        <f t="shared" si="3"/>
        <v>0</v>
      </c>
      <c r="I66" s="7">
        <f t="shared" si="4"/>
        <v>0</v>
      </c>
      <c r="J66" s="7">
        <f t="shared" si="5"/>
        <v>112257.64</v>
      </c>
      <c r="K66" s="34">
        <f t="shared" si="19"/>
        <v>115625.3692</v>
      </c>
      <c r="L66" s="7">
        <f t="shared" si="6"/>
        <v>0</v>
      </c>
      <c r="M66" s="7">
        <f t="shared" si="7"/>
        <v>0</v>
      </c>
      <c r="N66" s="132">
        <f t="shared" si="8"/>
        <v>115625.3692</v>
      </c>
      <c r="O66" s="7">
        <f t="shared" si="20"/>
        <v>119094.13027600001</v>
      </c>
      <c r="P66" s="7">
        <f t="shared" si="9"/>
        <v>0</v>
      </c>
      <c r="Q66" s="7">
        <f t="shared" si="10"/>
        <v>0</v>
      </c>
      <c r="R66" s="7">
        <f t="shared" si="11"/>
        <v>119094.13027600001</v>
      </c>
      <c r="S66" s="34">
        <f t="shared" si="21"/>
        <v>122666.95418428001</v>
      </c>
      <c r="T66" s="7">
        <f t="shared" si="12"/>
        <v>0</v>
      </c>
      <c r="U66" s="7">
        <f t="shared" si="13"/>
        <v>0</v>
      </c>
      <c r="V66" s="132">
        <f t="shared" si="14"/>
        <v>122666.95418428001</v>
      </c>
      <c r="W66" s="7">
        <f t="shared" si="22"/>
        <v>126346.96280980841</v>
      </c>
      <c r="X66" s="7">
        <f t="shared" si="15"/>
        <v>0</v>
      </c>
      <c r="Y66" s="7">
        <f t="shared" si="16"/>
        <v>0</v>
      </c>
      <c r="Z66" s="8">
        <f t="shared" si="17"/>
        <v>126346.96280980841</v>
      </c>
    </row>
    <row r="67" spans="1:26" x14ac:dyDescent="0.25">
      <c r="A67" s="119" t="s">
        <v>266</v>
      </c>
      <c r="B67" s="134"/>
      <c r="C67" s="34">
        <v>0</v>
      </c>
      <c r="D67" s="7"/>
      <c r="E67" s="7"/>
      <c r="F67" s="8"/>
      <c r="G67" s="7"/>
      <c r="H67" s="7"/>
      <c r="I67" s="7"/>
      <c r="J67" s="7">
        <f>$J$66</f>
        <v>112257.64</v>
      </c>
      <c r="K67" s="34">
        <v>106338.37555000001</v>
      </c>
      <c r="L67" s="7">
        <v>11750.390498275001</v>
      </c>
      <c r="M67" s="7">
        <v>10633.837555000002</v>
      </c>
      <c r="N67" s="132">
        <f>$N$66</f>
        <v>115625.3692</v>
      </c>
      <c r="O67" s="7">
        <v>108199.29712212502</v>
      </c>
      <c r="P67" s="7">
        <v>11956.022331994815</v>
      </c>
      <c r="Q67" s="7">
        <v>10819.929712212503</v>
      </c>
      <c r="R67" s="7">
        <f>$R$66</f>
        <v>119094.13027600001</v>
      </c>
      <c r="S67" s="34">
        <v>110092.78482176221</v>
      </c>
      <c r="T67" s="7">
        <v>12165.252722804724</v>
      </c>
      <c r="U67" s="7">
        <v>11009.278482176222</v>
      </c>
      <c r="V67" s="132">
        <f>$V$66</f>
        <v>122666.95418428001</v>
      </c>
      <c r="W67" s="7">
        <v>112019.40855614305</v>
      </c>
      <c r="X67" s="7">
        <v>12378.144645453807</v>
      </c>
      <c r="Y67" s="7">
        <v>11201.940855614306</v>
      </c>
      <c r="Z67" s="8">
        <f>Z66</f>
        <v>126346.96280980841</v>
      </c>
    </row>
    <row r="68" spans="1:26" x14ac:dyDescent="0.25">
      <c r="A68" s="119" t="s">
        <v>266</v>
      </c>
      <c r="B68" s="134"/>
      <c r="C68" s="34">
        <v>0</v>
      </c>
      <c r="D68" s="7"/>
      <c r="E68" s="7"/>
      <c r="F68" s="8"/>
      <c r="G68" s="7"/>
      <c r="H68" s="7"/>
      <c r="I68" s="7"/>
      <c r="J68" s="7">
        <f t="shared" ref="J68:J74" si="43">$J$66</f>
        <v>112257.64</v>
      </c>
      <c r="K68" s="34">
        <v>106338.37555000001</v>
      </c>
      <c r="L68" s="7">
        <v>11750.390498275001</v>
      </c>
      <c r="M68" s="7">
        <v>10633.837555000002</v>
      </c>
      <c r="N68" s="132">
        <f t="shared" ref="N68:N74" si="44">$N$66</f>
        <v>115625.3692</v>
      </c>
      <c r="O68" s="7">
        <v>108199.29712212502</v>
      </c>
      <c r="P68" s="7">
        <v>11956.022331994815</v>
      </c>
      <c r="Q68" s="7">
        <v>10819.929712212503</v>
      </c>
      <c r="R68" s="7">
        <f t="shared" ref="R68:R74" si="45">$R$66</f>
        <v>119094.13027600001</v>
      </c>
      <c r="S68" s="34">
        <v>110092.78482176221</v>
      </c>
      <c r="T68" s="7">
        <v>12165.252722804724</v>
      </c>
      <c r="U68" s="7">
        <v>11009.278482176222</v>
      </c>
      <c r="V68" s="132">
        <f t="shared" ref="V68:V74" si="46">$V$66</f>
        <v>122666.95418428001</v>
      </c>
      <c r="W68" s="7">
        <v>112019.40855614305</v>
      </c>
      <c r="X68" s="7">
        <v>12378.144645453807</v>
      </c>
      <c r="Y68" s="7">
        <v>11201.940855614306</v>
      </c>
      <c r="Z68" s="8">
        <f t="shared" ref="Z68:Z74" si="47">Z67</f>
        <v>126346.96280980841</v>
      </c>
    </row>
    <row r="69" spans="1:26" x14ac:dyDescent="0.25">
      <c r="A69" s="119" t="s">
        <v>266</v>
      </c>
      <c r="B69" s="134"/>
      <c r="C69" s="34">
        <v>0</v>
      </c>
      <c r="D69" s="7"/>
      <c r="E69" s="7"/>
      <c r="F69" s="8"/>
      <c r="G69" s="7"/>
      <c r="H69" s="7"/>
      <c r="I69" s="7"/>
      <c r="J69" s="7">
        <f t="shared" si="43"/>
        <v>112257.64</v>
      </c>
      <c r="K69" s="34">
        <v>106338.37555000001</v>
      </c>
      <c r="L69" s="7">
        <v>11750.390498275001</v>
      </c>
      <c r="M69" s="7">
        <v>10633.837555000002</v>
      </c>
      <c r="N69" s="132">
        <f t="shared" si="44"/>
        <v>115625.3692</v>
      </c>
      <c r="O69" s="7">
        <v>108199.29712212502</v>
      </c>
      <c r="P69" s="7">
        <v>11956.022331994815</v>
      </c>
      <c r="Q69" s="7">
        <v>10819.929712212503</v>
      </c>
      <c r="R69" s="7">
        <f t="shared" si="45"/>
        <v>119094.13027600001</v>
      </c>
      <c r="S69" s="34">
        <v>110092.78482176221</v>
      </c>
      <c r="T69" s="7">
        <v>12165.252722804724</v>
      </c>
      <c r="U69" s="7">
        <v>11009.278482176222</v>
      </c>
      <c r="V69" s="132">
        <f t="shared" si="46"/>
        <v>122666.95418428001</v>
      </c>
      <c r="W69" s="7">
        <v>112019.40855614305</v>
      </c>
      <c r="X69" s="7">
        <v>12378.144645453807</v>
      </c>
      <c r="Y69" s="7">
        <v>11201.940855614306</v>
      </c>
      <c r="Z69" s="8">
        <f t="shared" si="47"/>
        <v>126346.96280980841</v>
      </c>
    </row>
    <row r="70" spans="1:26" x14ac:dyDescent="0.25">
      <c r="A70" s="119" t="s">
        <v>266</v>
      </c>
      <c r="B70" s="134"/>
      <c r="C70" s="34">
        <v>0</v>
      </c>
      <c r="D70" s="7"/>
      <c r="E70" s="7"/>
      <c r="F70" s="8"/>
      <c r="G70" s="7"/>
      <c r="H70" s="7"/>
      <c r="I70" s="7"/>
      <c r="J70" s="7">
        <f t="shared" si="43"/>
        <v>112257.64</v>
      </c>
      <c r="K70" s="34">
        <v>106338.37555000001</v>
      </c>
      <c r="L70" s="7">
        <v>11750.390498275001</v>
      </c>
      <c r="M70" s="7">
        <v>10633.837555000002</v>
      </c>
      <c r="N70" s="132">
        <f t="shared" si="44"/>
        <v>115625.3692</v>
      </c>
      <c r="O70" s="7">
        <v>108199.29712212502</v>
      </c>
      <c r="P70" s="7">
        <v>11956.022331994815</v>
      </c>
      <c r="Q70" s="7">
        <v>10819.929712212503</v>
      </c>
      <c r="R70" s="7">
        <f t="shared" si="45"/>
        <v>119094.13027600001</v>
      </c>
      <c r="S70" s="34">
        <v>110092.78482176221</v>
      </c>
      <c r="T70" s="7">
        <v>12165.252722804724</v>
      </c>
      <c r="U70" s="7">
        <v>11009.278482176222</v>
      </c>
      <c r="V70" s="132">
        <f t="shared" si="46"/>
        <v>122666.95418428001</v>
      </c>
      <c r="W70" s="7">
        <v>112019.40855614305</v>
      </c>
      <c r="X70" s="7">
        <v>12378.144645453807</v>
      </c>
      <c r="Y70" s="7">
        <v>11201.940855614306</v>
      </c>
      <c r="Z70" s="8">
        <f t="shared" si="47"/>
        <v>126346.96280980841</v>
      </c>
    </row>
    <row r="71" spans="1:26" x14ac:dyDescent="0.25">
      <c r="A71" s="119" t="s">
        <v>266</v>
      </c>
      <c r="B71" s="134"/>
      <c r="C71" s="34">
        <v>0</v>
      </c>
      <c r="D71" s="7"/>
      <c r="E71" s="7"/>
      <c r="F71" s="8"/>
      <c r="G71" s="7"/>
      <c r="H71" s="7"/>
      <c r="I71" s="7"/>
      <c r="J71" s="7">
        <f t="shared" si="43"/>
        <v>112257.64</v>
      </c>
      <c r="K71" s="34">
        <v>106338.37555000001</v>
      </c>
      <c r="L71" s="7">
        <v>11750.390498275001</v>
      </c>
      <c r="M71" s="7">
        <v>10633.837555000002</v>
      </c>
      <c r="N71" s="132">
        <f t="shared" si="44"/>
        <v>115625.3692</v>
      </c>
      <c r="O71" s="7">
        <v>108199.29712212502</v>
      </c>
      <c r="P71" s="7">
        <v>11956.022331994815</v>
      </c>
      <c r="Q71" s="7">
        <v>10819.929712212503</v>
      </c>
      <c r="R71" s="7">
        <f t="shared" si="45"/>
        <v>119094.13027600001</v>
      </c>
      <c r="S71" s="34">
        <v>110092.78482176221</v>
      </c>
      <c r="T71" s="7">
        <v>12165.252722804724</v>
      </c>
      <c r="U71" s="7">
        <v>11009.278482176222</v>
      </c>
      <c r="V71" s="132">
        <f t="shared" si="46"/>
        <v>122666.95418428001</v>
      </c>
      <c r="W71" s="7">
        <v>112019.40855614305</v>
      </c>
      <c r="X71" s="7">
        <v>12378.144645453807</v>
      </c>
      <c r="Y71" s="7">
        <v>11201.940855614306</v>
      </c>
      <c r="Z71" s="8">
        <f t="shared" si="47"/>
        <v>126346.96280980841</v>
      </c>
    </row>
    <row r="72" spans="1:26" x14ac:dyDescent="0.25">
      <c r="A72" s="119" t="s">
        <v>266</v>
      </c>
      <c r="B72" s="134"/>
      <c r="C72" s="34">
        <v>0</v>
      </c>
      <c r="D72" s="7"/>
      <c r="E72" s="7"/>
      <c r="F72" s="8"/>
      <c r="G72" s="7"/>
      <c r="H72" s="7"/>
      <c r="I72" s="7"/>
      <c r="J72" s="7">
        <f t="shared" si="43"/>
        <v>112257.64</v>
      </c>
      <c r="K72" s="34">
        <v>106338.37555000001</v>
      </c>
      <c r="L72" s="7">
        <v>11750.390498275001</v>
      </c>
      <c r="M72" s="7">
        <v>10633.837555000002</v>
      </c>
      <c r="N72" s="132">
        <f t="shared" si="44"/>
        <v>115625.3692</v>
      </c>
      <c r="O72" s="7">
        <v>108199.29712212502</v>
      </c>
      <c r="P72" s="7">
        <v>11956.022331994815</v>
      </c>
      <c r="Q72" s="7">
        <v>10819.929712212503</v>
      </c>
      <c r="R72" s="7">
        <f t="shared" si="45"/>
        <v>119094.13027600001</v>
      </c>
      <c r="S72" s="34">
        <v>110092.78482176221</v>
      </c>
      <c r="T72" s="7">
        <v>12165.252722804724</v>
      </c>
      <c r="U72" s="7">
        <v>11009.278482176222</v>
      </c>
      <c r="V72" s="132">
        <f t="shared" si="46"/>
        <v>122666.95418428001</v>
      </c>
      <c r="W72" s="7">
        <v>112019.40855614305</v>
      </c>
      <c r="X72" s="7">
        <v>12378.144645453807</v>
      </c>
      <c r="Y72" s="7">
        <v>11201.940855614306</v>
      </c>
      <c r="Z72" s="8">
        <f t="shared" si="47"/>
        <v>126346.96280980841</v>
      </c>
    </row>
    <row r="73" spans="1:26" x14ac:dyDescent="0.25">
      <c r="A73" s="119" t="s">
        <v>266</v>
      </c>
      <c r="B73" s="134"/>
      <c r="C73" s="34">
        <v>0</v>
      </c>
      <c r="D73" s="7"/>
      <c r="E73" s="7"/>
      <c r="F73" s="8"/>
      <c r="G73" s="7"/>
      <c r="H73" s="7"/>
      <c r="I73" s="7"/>
      <c r="J73" s="7">
        <f t="shared" si="43"/>
        <v>112257.64</v>
      </c>
      <c r="K73" s="34">
        <v>106338.37555000001</v>
      </c>
      <c r="L73" s="7">
        <v>11750.390498275001</v>
      </c>
      <c r="M73" s="7">
        <v>10633.837555000002</v>
      </c>
      <c r="N73" s="132">
        <f t="shared" si="44"/>
        <v>115625.3692</v>
      </c>
      <c r="O73" s="7">
        <v>108199.29712212502</v>
      </c>
      <c r="P73" s="7">
        <v>11956.022331994815</v>
      </c>
      <c r="Q73" s="7">
        <v>10819.929712212503</v>
      </c>
      <c r="R73" s="7">
        <f t="shared" si="45"/>
        <v>119094.13027600001</v>
      </c>
      <c r="S73" s="34">
        <v>110092.78482176221</v>
      </c>
      <c r="T73" s="7">
        <v>12165.252722804724</v>
      </c>
      <c r="U73" s="7">
        <v>11009.278482176222</v>
      </c>
      <c r="V73" s="132">
        <f t="shared" si="46"/>
        <v>122666.95418428001</v>
      </c>
      <c r="W73" s="7">
        <v>112019.40855614305</v>
      </c>
      <c r="X73" s="7">
        <v>12378.144645453807</v>
      </c>
      <c r="Y73" s="7">
        <v>11201.940855614306</v>
      </c>
      <c r="Z73" s="8">
        <f t="shared" si="47"/>
        <v>126346.96280980841</v>
      </c>
    </row>
    <row r="74" spans="1:26" ht="15.75" thickBot="1" x14ac:dyDescent="0.3">
      <c r="A74" s="120" t="s">
        <v>266</v>
      </c>
      <c r="B74" s="135"/>
      <c r="C74" s="35">
        <v>0</v>
      </c>
      <c r="D74" s="10"/>
      <c r="E74" s="10"/>
      <c r="F74" s="11"/>
      <c r="G74" s="10"/>
      <c r="H74" s="10"/>
      <c r="I74" s="10"/>
      <c r="J74" s="7">
        <f t="shared" si="43"/>
        <v>112257.64</v>
      </c>
      <c r="K74" s="35">
        <v>106338.37555000001</v>
      </c>
      <c r="L74" s="10">
        <v>11750.390498275001</v>
      </c>
      <c r="M74" s="10">
        <v>10633.837555000002</v>
      </c>
      <c r="N74" s="132">
        <f t="shared" si="44"/>
        <v>115625.3692</v>
      </c>
      <c r="O74" s="10">
        <v>108199.29712212502</v>
      </c>
      <c r="P74" s="10">
        <v>11956.022331994815</v>
      </c>
      <c r="Q74" s="10">
        <v>10819.929712212503</v>
      </c>
      <c r="R74" s="7">
        <f t="shared" si="45"/>
        <v>119094.13027600001</v>
      </c>
      <c r="S74" s="35">
        <v>110092.78482176221</v>
      </c>
      <c r="T74" s="10">
        <v>12165.252722804724</v>
      </c>
      <c r="U74" s="10">
        <v>11009.278482176222</v>
      </c>
      <c r="V74" s="132">
        <f t="shared" si="46"/>
        <v>122666.95418428001</v>
      </c>
      <c r="W74" s="10">
        <v>112019.40855614305</v>
      </c>
      <c r="X74" s="10">
        <v>12378.144645453807</v>
      </c>
      <c r="Y74" s="10">
        <v>11201.940855614306</v>
      </c>
      <c r="Z74" s="8">
        <f t="shared" si="47"/>
        <v>126346.96280980841</v>
      </c>
    </row>
    <row r="75" spans="1:26" x14ac:dyDescent="0.25">
      <c r="A75" s="24" t="s">
        <v>48</v>
      </c>
      <c r="B75" s="134">
        <v>1</v>
      </c>
      <c r="C75" s="317">
        <v>74527</v>
      </c>
      <c r="D75" s="7">
        <f t="shared" si="0"/>
        <v>0</v>
      </c>
      <c r="E75" s="7">
        <f t="shared" si="1"/>
        <v>0</v>
      </c>
      <c r="F75" s="8">
        <f>SUM(C75:E75)</f>
        <v>74527</v>
      </c>
      <c r="G75" s="7">
        <f t="shared" si="18"/>
        <v>76762.81</v>
      </c>
      <c r="H75" s="7">
        <f t="shared" si="3"/>
        <v>0</v>
      </c>
      <c r="I75" s="7">
        <f t="shared" si="4"/>
        <v>0</v>
      </c>
      <c r="J75" s="7">
        <f>SUM(G75:I75)</f>
        <v>76762.81</v>
      </c>
      <c r="K75" s="34">
        <f t="shared" si="19"/>
        <v>79065.694300000003</v>
      </c>
      <c r="L75" s="7">
        <f t="shared" si="6"/>
        <v>0</v>
      </c>
      <c r="M75" s="7">
        <f t="shared" si="7"/>
        <v>0</v>
      </c>
      <c r="N75" s="132">
        <f>SUM(K75:M75)</f>
        <v>79065.694300000003</v>
      </c>
      <c r="O75" s="7">
        <f t="shared" si="20"/>
        <v>81437.665129000001</v>
      </c>
      <c r="P75" s="7">
        <f t="shared" si="9"/>
        <v>0</v>
      </c>
      <c r="Q75" s="7">
        <f t="shared" si="10"/>
        <v>0</v>
      </c>
      <c r="R75" s="7">
        <f>SUM(O75:Q75)</f>
        <v>81437.665129000001</v>
      </c>
      <c r="S75" s="34">
        <f t="shared" si="21"/>
        <v>83880.795082869998</v>
      </c>
      <c r="T75" s="7">
        <f t="shared" si="12"/>
        <v>0</v>
      </c>
      <c r="U75" s="7">
        <f t="shared" si="13"/>
        <v>0</v>
      </c>
      <c r="V75" s="132">
        <f>SUM(S75:U75)</f>
        <v>83880.795082869998</v>
      </c>
      <c r="W75" s="7">
        <f t="shared" si="22"/>
        <v>86397.218935356097</v>
      </c>
      <c r="X75" s="7">
        <f t="shared" si="15"/>
        <v>0</v>
      </c>
      <c r="Y75" s="7">
        <f t="shared" si="16"/>
        <v>0</v>
      </c>
      <c r="Z75" s="8">
        <f>SUM(W75:Y75)</f>
        <v>86397.218935356097</v>
      </c>
    </row>
    <row r="76" spans="1:26" x14ac:dyDescent="0.25">
      <c r="A76" s="24" t="s">
        <v>49</v>
      </c>
      <c r="B76" s="134">
        <v>2</v>
      </c>
      <c r="C76" s="317">
        <v>77653</v>
      </c>
      <c r="D76" s="7">
        <f t="shared" si="0"/>
        <v>0</v>
      </c>
      <c r="E76" s="7">
        <f t="shared" si="1"/>
        <v>0</v>
      </c>
      <c r="F76" s="8">
        <f t="shared" ref="F76:F82" si="48">SUM(C76:E76)</f>
        <v>77653</v>
      </c>
      <c r="G76" s="7">
        <f t="shared" si="18"/>
        <v>79982.59</v>
      </c>
      <c r="H76" s="7">
        <f t="shared" si="3"/>
        <v>0</v>
      </c>
      <c r="I76" s="7">
        <f t="shared" si="4"/>
        <v>0</v>
      </c>
      <c r="J76" s="7">
        <f t="shared" ref="J76:J82" si="49">SUM(G76:I76)</f>
        <v>79982.59</v>
      </c>
      <c r="K76" s="34">
        <f t="shared" si="19"/>
        <v>82382.0677</v>
      </c>
      <c r="L76" s="7">
        <f t="shared" si="6"/>
        <v>0</v>
      </c>
      <c r="M76" s="7">
        <f t="shared" si="7"/>
        <v>0</v>
      </c>
      <c r="N76" s="132">
        <f t="shared" ref="N76:N82" si="50">SUM(K76:M76)</f>
        <v>82382.0677</v>
      </c>
      <c r="O76" s="7">
        <f t="shared" si="20"/>
        <v>84853.529731000002</v>
      </c>
      <c r="P76" s="7">
        <f t="shared" si="9"/>
        <v>0</v>
      </c>
      <c r="Q76" s="7">
        <f t="shared" si="10"/>
        <v>0</v>
      </c>
      <c r="R76" s="7">
        <f t="shared" ref="R76:R82" si="51">SUM(O76:Q76)</f>
        <v>84853.529731000002</v>
      </c>
      <c r="S76" s="34">
        <f t="shared" si="21"/>
        <v>87399.13562293</v>
      </c>
      <c r="T76" s="7">
        <f t="shared" si="12"/>
        <v>0</v>
      </c>
      <c r="U76" s="7">
        <f t="shared" si="13"/>
        <v>0</v>
      </c>
      <c r="V76" s="132">
        <f t="shared" ref="V76:V82" si="52">SUM(S76:U76)</f>
        <v>87399.13562293</v>
      </c>
      <c r="W76" s="7">
        <f t="shared" si="22"/>
        <v>90021.109691617909</v>
      </c>
      <c r="X76" s="7">
        <f t="shared" si="15"/>
        <v>0</v>
      </c>
      <c r="Y76" s="7">
        <f t="shared" si="16"/>
        <v>0</v>
      </c>
      <c r="Z76" s="8">
        <f t="shared" ref="Z76:Z82" si="53">SUM(W76:Y76)</f>
        <v>90021.109691617909</v>
      </c>
    </row>
    <row r="77" spans="1:26" x14ac:dyDescent="0.25">
      <c r="A77" s="24" t="s">
        <v>50</v>
      </c>
      <c r="B77" s="134">
        <v>3</v>
      </c>
      <c r="C77" s="317">
        <v>81983</v>
      </c>
      <c r="D77" s="7">
        <f t="shared" si="0"/>
        <v>0</v>
      </c>
      <c r="E77" s="7">
        <f t="shared" si="1"/>
        <v>0</v>
      </c>
      <c r="F77" s="8">
        <f t="shared" si="48"/>
        <v>81983</v>
      </c>
      <c r="G77" s="7">
        <f t="shared" si="18"/>
        <v>84442.49</v>
      </c>
      <c r="H77" s="7">
        <f t="shared" si="3"/>
        <v>0</v>
      </c>
      <c r="I77" s="7">
        <f t="shared" si="4"/>
        <v>0</v>
      </c>
      <c r="J77" s="7">
        <f t="shared" si="49"/>
        <v>84442.49</v>
      </c>
      <c r="K77" s="34">
        <f t="shared" si="19"/>
        <v>86975.764700000014</v>
      </c>
      <c r="L77" s="7">
        <f t="shared" si="6"/>
        <v>0</v>
      </c>
      <c r="M77" s="7">
        <f t="shared" si="7"/>
        <v>0</v>
      </c>
      <c r="N77" s="132">
        <f t="shared" si="50"/>
        <v>86975.764700000014</v>
      </c>
      <c r="O77" s="7">
        <f t="shared" si="20"/>
        <v>89585.037641000017</v>
      </c>
      <c r="P77" s="7">
        <f t="shared" si="9"/>
        <v>0</v>
      </c>
      <c r="Q77" s="7">
        <f t="shared" si="10"/>
        <v>0</v>
      </c>
      <c r="R77" s="7">
        <f t="shared" si="51"/>
        <v>89585.037641000017</v>
      </c>
      <c r="S77" s="34">
        <f t="shared" si="21"/>
        <v>92272.588770230024</v>
      </c>
      <c r="T77" s="7">
        <f t="shared" si="12"/>
        <v>0</v>
      </c>
      <c r="U77" s="7">
        <f t="shared" si="13"/>
        <v>0</v>
      </c>
      <c r="V77" s="132">
        <f t="shared" si="52"/>
        <v>92272.588770230024</v>
      </c>
      <c r="W77" s="7">
        <f t="shared" si="22"/>
        <v>95040.766433336932</v>
      </c>
      <c r="X77" s="7">
        <f t="shared" si="15"/>
        <v>0</v>
      </c>
      <c r="Y77" s="7">
        <f t="shared" si="16"/>
        <v>0</v>
      </c>
      <c r="Z77" s="8">
        <f t="shared" si="53"/>
        <v>95040.766433336932</v>
      </c>
    </row>
    <row r="78" spans="1:26" x14ac:dyDescent="0.25">
      <c r="A78" s="24" t="s">
        <v>51</v>
      </c>
      <c r="B78" s="134">
        <v>4</v>
      </c>
      <c r="C78" s="317">
        <v>86287</v>
      </c>
      <c r="D78" s="7">
        <f t="shared" si="0"/>
        <v>0</v>
      </c>
      <c r="E78" s="7">
        <f t="shared" si="1"/>
        <v>0</v>
      </c>
      <c r="F78" s="8">
        <f t="shared" si="48"/>
        <v>86287</v>
      </c>
      <c r="G78" s="7">
        <f t="shared" si="18"/>
        <v>88875.61</v>
      </c>
      <c r="H78" s="7">
        <f t="shared" si="3"/>
        <v>0</v>
      </c>
      <c r="I78" s="7">
        <f t="shared" si="4"/>
        <v>0</v>
      </c>
      <c r="J78" s="7">
        <f t="shared" si="49"/>
        <v>88875.61</v>
      </c>
      <c r="K78" s="34">
        <f t="shared" si="19"/>
        <v>91541.878299999997</v>
      </c>
      <c r="L78" s="7">
        <f t="shared" si="6"/>
        <v>0</v>
      </c>
      <c r="M78" s="7">
        <f t="shared" si="7"/>
        <v>0</v>
      </c>
      <c r="N78" s="132">
        <f t="shared" si="50"/>
        <v>91541.878299999997</v>
      </c>
      <c r="O78" s="7">
        <f t="shared" si="20"/>
        <v>94288.134649</v>
      </c>
      <c r="P78" s="7">
        <f t="shared" si="9"/>
        <v>0</v>
      </c>
      <c r="Q78" s="7">
        <f t="shared" si="10"/>
        <v>0</v>
      </c>
      <c r="R78" s="7">
        <f t="shared" si="51"/>
        <v>94288.134649</v>
      </c>
      <c r="S78" s="34">
        <f t="shared" si="21"/>
        <v>97116.778688470004</v>
      </c>
      <c r="T78" s="7">
        <f t="shared" si="12"/>
        <v>0</v>
      </c>
      <c r="U78" s="7">
        <f t="shared" si="13"/>
        <v>0</v>
      </c>
      <c r="V78" s="132">
        <f t="shared" si="52"/>
        <v>97116.778688470004</v>
      </c>
      <c r="W78" s="7">
        <f t="shared" si="22"/>
        <v>100030.2820491241</v>
      </c>
      <c r="X78" s="7">
        <f t="shared" si="15"/>
        <v>0</v>
      </c>
      <c r="Y78" s="7">
        <f t="shared" si="16"/>
        <v>0</v>
      </c>
      <c r="Z78" s="8">
        <f t="shared" si="53"/>
        <v>100030.2820491241</v>
      </c>
    </row>
    <row r="79" spans="1:26" x14ac:dyDescent="0.25">
      <c r="A79" s="24" t="s">
        <v>52</v>
      </c>
      <c r="B79" s="134">
        <v>5</v>
      </c>
      <c r="C79" s="317">
        <v>90602</v>
      </c>
      <c r="D79" s="7">
        <f t="shared" si="0"/>
        <v>0</v>
      </c>
      <c r="E79" s="7">
        <f t="shared" si="1"/>
        <v>0</v>
      </c>
      <c r="F79" s="8">
        <f t="shared" si="48"/>
        <v>90602</v>
      </c>
      <c r="G79" s="7">
        <f t="shared" si="18"/>
        <v>93320.06</v>
      </c>
      <c r="H79" s="7">
        <f t="shared" si="3"/>
        <v>0</v>
      </c>
      <c r="I79" s="7">
        <f t="shared" si="4"/>
        <v>0</v>
      </c>
      <c r="J79" s="7">
        <f t="shared" si="49"/>
        <v>93320.06</v>
      </c>
      <c r="K79" s="34">
        <f t="shared" si="19"/>
        <v>96119.661800000002</v>
      </c>
      <c r="L79" s="7">
        <f t="shared" si="6"/>
        <v>0</v>
      </c>
      <c r="M79" s="7">
        <f t="shared" si="7"/>
        <v>0</v>
      </c>
      <c r="N79" s="132">
        <f t="shared" si="50"/>
        <v>96119.661800000002</v>
      </c>
      <c r="O79" s="7">
        <f t="shared" si="20"/>
        <v>99003.251654000007</v>
      </c>
      <c r="P79" s="7">
        <f t="shared" si="9"/>
        <v>0</v>
      </c>
      <c r="Q79" s="7">
        <f t="shared" si="10"/>
        <v>0</v>
      </c>
      <c r="R79" s="7">
        <f t="shared" si="51"/>
        <v>99003.251654000007</v>
      </c>
      <c r="S79" s="34">
        <f t="shared" si="21"/>
        <v>101973.34920362</v>
      </c>
      <c r="T79" s="7">
        <f t="shared" si="12"/>
        <v>0</v>
      </c>
      <c r="U79" s="7">
        <f t="shared" si="13"/>
        <v>0</v>
      </c>
      <c r="V79" s="132">
        <f t="shared" si="52"/>
        <v>101973.34920362</v>
      </c>
      <c r="W79" s="7">
        <f t="shared" si="22"/>
        <v>105032.5496797286</v>
      </c>
      <c r="X79" s="7">
        <f t="shared" si="15"/>
        <v>0</v>
      </c>
      <c r="Y79" s="7">
        <f t="shared" si="16"/>
        <v>0</v>
      </c>
      <c r="Z79" s="8">
        <f t="shared" si="53"/>
        <v>105032.5496797286</v>
      </c>
    </row>
    <row r="80" spans="1:26" x14ac:dyDescent="0.25">
      <c r="A80" s="24" t="s">
        <v>53</v>
      </c>
      <c r="B80" s="134">
        <v>6</v>
      </c>
      <c r="C80" s="317">
        <v>94942</v>
      </c>
      <c r="D80" s="7">
        <f t="shared" si="0"/>
        <v>0</v>
      </c>
      <c r="E80" s="7">
        <f t="shared" si="1"/>
        <v>0</v>
      </c>
      <c r="F80" s="8">
        <f t="shared" si="48"/>
        <v>94942</v>
      </c>
      <c r="G80" s="7">
        <f t="shared" si="18"/>
        <v>97790.260000000009</v>
      </c>
      <c r="H80" s="7">
        <f t="shared" si="3"/>
        <v>0</v>
      </c>
      <c r="I80" s="7">
        <f t="shared" si="4"/>
        <v>0</v>
      </c>
      <c r="J80" s="7">
        <f t="shared" si="49"/>
        <v>97790.260000000009</v>
      </c>
      <c r="K80" s="34">
        <f t="shared" si="19"/>
        <v>100723.96780000001</v>
      </c>
      <c r="L80" s="7">
        <f t="shared" si="6"/>
        <v>0</v>
      </c>
      <c r="M80" s="7">
        <f t="shared" si="7"/>
        <v>0</v>
      </c>
      <c r="N80" s="132">
        <f t="shared" si="50"/>
        <v>100723.96780000001</v>
      </c>
      <c r="O80" s="7">
        <f t="shared" si="20"/>
        <v>103745.68683400002</v>
      </c>
      <c r="P80" s="7">
        <f t="shared" si="9"/>
        <v>0</v>
      </c>
      <c r="Q80" s="7">
        <f t="shared" si="10"/>
        <v>0</v>
      </c>
      <c r="R80" s="7">
        <f t="shared" si="51"/>
        <v>103745.68683400002</v>
      </c>
      <c r="S80" s="34">
        <f t="shared" si="21"/>
        <v>106858.05743902002</v>
      </c>
      <c r="T80" s="7">
        <f t="shared" si="12"/>
        <v>0</v>
      </c>
      <c r="U80" s="7">
        <f t="shared" si="13"/>
        <v>0</v>
      </c>
      <c r="V80" s="132">
        <f t="shared" si="52"/>
        <v>106858.05743902002</v>
      </c>
      <c r="W80" s="7">
        <f t="shared" si="22"/>
        <v>110063.79916219063</v>
      </c>
      <c r="X80" s="7">
        <f t="shared" si="15"/>
        <v>0</v>
      </c>
      <c r="Y80" s="7">
        <f t="shared" si="16"/>
        <v>0</v>
      </c>
      <c r="Z80" s="8">
        <f t="shared" si="53"/>
        <v>110063.79916219063</v>
      </c>
    </row>
    <row r="81" spans="1:26" x14ac:dyDescent="0.25">
      <c r="A81" s="24" t="s">
        <v>54</v>
      </c>
      <c r="B81" s="134">
        <v>7</v>
      </c>
      <c r="C81" s="317">
        <v>99252</v>
      </c>
      <c r="D81" s="7">
        <f t="shared" si="0"/>
        <v>0</v>
      </c>
      <c r="E81" s="7">
        <f t="shared" si="1"/>
        <v>0</v>
      </c>
      <c r="F81" s="8">
        <f t="shared" si="48"/>
        <v>99252</v>
      </c>
      <c r="G81" s="7">
        <f t="shared" si="18"/>
        <v>102229.56</v>
      </c>
      <c r="H81" s="7">
        <f t="shared" si="3"/>
        <v>0</v>
      </c>
      <c r="I81" s="7">
        <f t="shared" si="4"/>
        <v>0</v>
      </c>
      <c r="J81" s="7">
        <f t="shared" si="49"/>
        <v>102229.56</v>
      </c>
      <c r="K81" s="34">
        <f t="shared" si="19"/>
        <v>105296.44680000001</v>
      </c>
      <c r="L81" s="7">
        <f t="shared" si="6"/>
        <v>0</v>
      </c>
      <c r="M81" s="7">
        <f t="shared" si="7"/>
        <v>0</v>
      </c>
      <c r="N81" s="132">
        <f t="shared" si="50"/>
        <v>105296.44680000001</v>
      </c>
      <c r="O81" s="7">
        <f t="shared" si="20"/>
        <v>108455.34020400001</v>
      </c>
      <c r="P81" s="7">
        <f t="shared" si="9"/>
        <v>0</v>
      </c>
      <c r="Q81" s="7">
        <f t="shared" si="10"/>
        <v>0</v>
      </c>
      <c r="R81" s="7">
        <f t="shared" si="51"/>
        <v>108455.34020400001</v>
      </c>
      <c r="S81" s="34">
        <f t="shared" si="21"/>
        <v>111709.00041012002</v>
      </c>
      <c r="T81" s="7">
        <f t="shared" si="12"/>
        <v>0</v>
      </c>
      <c r="U81" s="7">
        <f t="shared" si="13"/>
        <v>0</v>
      </c>
      <c r="V81" s="132">
        <f t="shared" si="52"/>
        <v>111709.00041012002</v>
      </c>
      <c r="W81" s="7">
        <f t="shared" si="22"/>
        <v>115060.27042242362</v>
      </c>
      <c r="X81" s="7">
        <f t="shared" si="15"/>
        <v>0</v>
      </c>
      <c r="Y81" s="7">
        <f t="shared" si="16"/>
        <v>0</v>
      </c>
      <c r="Z81" s="8">
        <f t="shared" si="53"/>
        <v>115060.27042242362</v>
      </c>
    </row>
    <row r="82" spans="1:26" x14ac:dyDescent="0.25">
      <c r="A82" s="24" t="s">
        <v>55</v>
      </c>
      <c r="B82" s="134">
        <v>8</v>
      </c>
      <c r="C82" s="317">
        <v>103543</v>
      </c>
      <c r="D82" s="7">
        <f t="shared" si="0"/>
        <v>0</v>
      </c>
      <c r="E82" s="7">
        <f t="shared" si="1"/>
        <v>0</v>
      </c>
      <c r="F82" s="8">
        <f t="shared" si="48"/>
        <v>103543</v>
      </c>
      <c r="G82" s="7">
        <f t="shared" si="18"/>
        <v>106649.29000000001</v>
      </c>
      <c r="H82" s="7">
        <f t="shared" si="3"/>
        <v>0</v>
      </c>
      <c r="I82" s="7">
        <f t="shared" si="4"/>
        <v>0</v>
      </c>
      <c r="J82" s="7">
        <f t="shared" si="49"/>
        <v>106649.29000000001</v>
      </c>
      <c r="K82" s="34">
        <f t="shared" si="19"/>
        <v>109848.76870000002</v>
      </c>
      <c r="L82" s="7">
        <f t="shared" si="6"/>
        <v>0</v>
      </c>
      <c r="M82" s="7">
        <f t="shared" si="7"/>
        <v>0</v>
      </c>
      <c r="N82" s="132">
        <f t="shared" si="50"/>
        <v>109848.76870000002</v>
      </c>
      <c r="O82" s="7">
        <f t="shared" si="20"/>
        <v>113144.23176100002</v>
      </c>
      <c r="P82" s="7">
        <f t="shared" si="9"/>
        <v>0</v>
      </c>
      <c r="Q82" s="7">
        <f t="shared" si="10"/>
        <v>0</v>
      </c>
      <c r="R82" s="7">
        <f t="shared" si="51"/>
        <v>113144.23176100002</v>
      </c>
      <c r="S82" s="34">
        <f t="shared" si="21"/>
        <v>116538.55871383002</v>
      </c>
      <c r="T82" s="7">
        <f t="shared" si="12"/>
        <v>0</v>
      </c>
      <c r="U82" s="7">
        <f t="shared" si="13"/>
        <v>0</v>
      </c>
      <c r="V82" s="132">
        <f t="shared" si="52"/>
        <v>116538.55871383002</v>
      </c>
      <c r="W82" s="7">
        <f t="shared" si="22"/>
        <v>120034.71547524493</v>
      </c>
      <c r="X82" s="7">
        <f t="shared" si="15"/>
        <v>0</v>
      </c>
      <c r="Y82" s="7">
        <f t="shared" si="16"/>
        <v>0</v>
      </c>
      <c r="Z82" s="8">
        <f t="shared" si="53"/>
        <v>120034.71547524493</v>
      </c>
    </row>
    <row r="83" spans="1:26" x14ac:dyDescent="0.25">
      <c r="A83" s="119" t="s">
        <v>266</v>
      </c>
      <c r="B83" s="134"/>
      <c r="C83" s="34">
        <v>0</v>
      </c>
      <c r="D83" s="7"/>
      <c r="E83" s="7"/>
      <c r="F83" s="8"/>
      <c r="G83" s="7"/>
      <c r="H83" s="7"/>
      <c r="I83" s="7"/>
      <c r="J83" s="7">
        <f>$J$82</f>
        <v>106649.29000000001</v>
      </c>
      <c r="K83" s="34">
        <v>101026.21918125002</v>
      </c>
      <c r="L83" s="7">
        <v>11163.397219528128</v>
      </c>
      <c r="M83" s="7">
        <v>10102.621918125004</v>
      </c>
      <c r="N83" s="132">
        <f>$N$82</f>
        <v>109848.76870000002</v>
      </c>
      <c r="O83" s="7">
        <v>102794.17801692191</v>
      </c>
      <c r="P83" s="7">
        <v>11358.756670869872</v>
      </c>
      <c r="Q83" s="7">
        <v>10279.417801692192</v>
      </c>
      <c r="R83" s="7">
        <f>$R$82</f>
        <v>113144.23176100002</v>
      </c>
      <c r="S83" s="34">
        <v>104593.07613221805</v>
      </c>
      <c r="T83" s="7">
        <v>11557.534912610094</v>
      </c>
      <c r="U83" s="7">
        <v>10459.307613221805</v>
      </c>
      <c r="V83" s="132">
        <f>$V$82</f>
        <v>116538.55871383002</v>
      </c>
      <c r="W83" s="7">
        <v>106423.45496453188</v>
      </c>
      <c r="X83" s="7">
        <v>11759.791773580773</v>
      </c>
      <c r="Y83" s="7">
        <v>10642.345496453188</v>
      </c>
      <c r="Z83" s="8">
        <f>$Z$82</f>
        <v>120034.71547524493</v>
      </c>
    </row>
    <row r="84" spans="1:26" x14ac:dyDescent="0.25">
      <c r="A84" s="119" t="s">
        <v>266</v>
      </c>
      <c r="B84" s="134"/>
      <c r="C84" s="34">
        <v>0</v>
      </c>
      <c r="D84" s="7"/>
      <c r="E84" s="7"/>
      <c r="F84" s="8"/>
      <c r="G84" s="7"/>
      <c r="H84" s="7"/>
      <c r="I84" s="7"/>
      <c r="J84" s="7">
        <f t="shared" ref="J84:J90" si="54">$J$82</f>
        <v>106649.29000000001</v>
      </c>
      <c r="K84" s="34">
        <v>101026.21918125002</v>
      </c>
      <c r="L84" s="7">
        <v>11163.397219528128</v>
      </c>
      <c r="M84" s="7">
        <v>10102.621918125004</v>
      </c>
      <c r="N84" s="132">
        <f t="shared" ref="N84:N90" si="55">$N$82</f>
        <v>109848.76870000002</v>
      </c>
      <c r="O84" s="7">
        <v>102794.17801692191</v>
      </c>
      <c r="P84" s="7">
        <v>11358.756670869872</v>
      </c>
      <c r="Q84" s="7">
        <v>10279.417801692192</v>
      </c>
      <c r="R84" s="7">
        <f t="shared" ref="R84:R90" si="56">$R$82</f>
        <v>113144.23176100002</v>
      </c>
      <c r="S84" s="34">
        <v>104593.07613221805</v>
      </c>
      <c r="T84" s="7">
        <v>11557.534912610094</v>
      </c>
      <c r="U84" s="7">
        <v>10459.307613221805</v>
      </c>
      <c r="V84" s="132">
        <f t="shared" ref="V84:V90" si="57">$V$82</f>
        <v>116538.55871383002</v>
      </c>
      <c r="W84" s="7">
        <v>106423.45496453188</v>
      </c>
      <c r="X84" s="7">
        <v>11759.791773580773</v>
      </c>
      <c r="Y84" s="7">
        <v>10642.345496453188</v>
      </c>
      <c r="Z84" s="8">
        <f t="shared" ref="Z84:Z90" si="58">$Z$82</f>
        <v>120034.71547524493</v>
      </c>
    </row>
    <row r="85" spans="1:26" x14ac:dyDescent="0.25">
      <c r="A85" s="119" t="s">
        <v>266</v>
      </c>
      <c r="B85" s="134"/>
      <c r="C85" s="34">
        <v>0</v>
      </c>
      <c r="D85" s="7"/>
      <c r="E85" s="7"/>
      <c r="F85" s="8"/>
      <c r="G85" s="7"/>
      <c r="H85" s="7"/>
      <c r="I85" s="7"/>
      <c r="J85" s="7">
        <f t="shared" si="54"/>
        <v>106649.29000000001</v>
      </c>
      <c r="K85" s="34">
        <v>101026.21918125002</v>
      </c>
      <c r="L85" s="7">
        <v>11163.397219528128</v>
      </c>
      <c r="M85" s="7">
        <v>10102.621918125004</v>
      </c>
      <c r="N85" s="132">
        <f t="shared" si="55"/>
        <v>109848.76870000002</v>
      </c>
      <c r="O85" s="7">
        <v>102794.17801692191</v>
      </c>
      <c r="P85" s="7">
        <v>11358.756670869872</v>
      </c>
      <c r="Q85" s="7">
        <v>10279.417801692192</v>
      </c>
      <c r="R85" s="7">
        <f t="shared" si="56"/>
        <v>113144.23176100002</v>
      </c>
      <c r="S85" s="34">
        <v>104593.07613221805</v>
      </c>
      <c r="T85" s="7">
        <v>11557.534912610094</v>
      </c>
      <c r="U85" s="7">
        <v>10459.307613221805</v>
      </c>
      <c r="V85" s="132">
        <f t="shared" si="57"/>
        <v>116538.55871383002</v>
      </c>
      <c r="W85" s="7">
        <v>106423.45496453188</v>
      </c>
      <c r="X85" s="7">
        <v>11759.791773580773</v>
      </c>
      <c r="Y85" s="7">
        <v>10642.345496453188</v>
      </c>
      <c r="Z85" s="8">
        <f t="shared" si="58"/>
        <v>120034.71547524493</v>
      </c>
    </row>
    <row r="86" spans="1:26" x14ac:dyDescent="0.25">
      <c r="A86" s="119" t="s">
        <v>266</v>
      </c>
      <c r="B86" s="134"/>
      <c r="C86" s="34">
        <v>0</v>
      </c>
      <c r="D86" s="7"/>
      <c r="E86" s="7"/>
      <c r="F86" s="8"/>
      <c r="G86" s="7"/>
      <c r="H86" s="7"/>
      <c r="I86" s="7"/>
      <c r="J86" s="7">
        <f t="shared" si="54"/>
        <v>106649.29000000001</v>
      </c>
      <c r="K86" s="34">
        <v>101026.21918125002</v>
      </c>
      <c r="L86" s="7">
        <v>11163.397219528128</v>
      </c>
      <c r="M86" s="7">
        <v>10102.621918125004</v>
      </c>
      <c r="N86" s="132">
        <f t="shared" si="55"/>
        <v>109848.76870000002</v>
      </c>
      <c r="O86" s="7">
        <v>102794.17801692191</v>
      </c>
      <c r="P86" s="7">
        <v>11358.756670869872</v>
      </c>
      <c r="Q86" s="7">
        <v>10279.417801692192</v>
      </c>
      <c r="R86" s="7">
        <f t="shared" si="56"/>
        <v>113144.23176100002</v>
      </c>
      <c r="S86" s="34">
        <v>104593.07613221805</v>
      </c>
      <c r="T86" s="7">
        <v>11557.534912610094</v>
      </c>
      <c r="U86" s="7">
        <v>10459.307613221805</v>
      </c>
      <c r="V86" s="132">
        <f t="shared" si="57"/>
        <v>116538.55871383002</v>
      </c>
      <c r="W86" s="7">
        <v>106423.45496453188</v>
      </c>
      <c r="X86" s="7">
        <v>11759.791773580773</v>
      </c>
      <c r="Y86" s="7">
        <v>10642.345496453188</v>
      </c>
      <c r="Z86" s="8">
        <f t="shared" si="58"/>
        <v>120034.71547524493</v>
      </c>
    </row>
    <row r="87" spans="1:26" x14ac:dyDescent="0.25">
      <c r="A87" s="119" t="s">
        <v>266</v>
      </c>
      <c r="B87" s="134"/>
      <c r="C87" s="34">
        <v>0</v>
      </c>
      <c r="D87" s="7"/>
      <c r="E87" s="7"/>
      <c r="F87" s="8"/>
      <c r="G87" s="7"/>
      <c r="H87" s="7"/>
      <c r="I87" s="7"/>
      <c r="J87" s="7">
        <f t="shared" si="54"/>
        <v>106649.29000000001</v>
      </c>
      <c r="K87" s="34">
        <v>101026.21918125002</v>
      </c>
      <c r="L87" s="7">
        <v>11163.397219528128</v>
      </c>
      <c r="M87" s="7">
        <v>10102.621918125004</v>
      </c>
      <c r="N87" s="132">
        <f t="shared" si="55"/>
        <v>109848.76870000002</v>
      </c>
      <c r="O87" s="7">
        <v>102794.17801692191</v>
      </c>
      <c r="P87" s="7">
        <v>11358.756670869872</v>
      </c>
      <c r="Q87" s="7">
        <v>10279.417801692192</v>
      </c>
      <c r="R87" s="7">
        <f t="shared" si="56"/>
        <v>113144.23176100002</v>
      </c>
      <c r="S87" s="34">
        <v>104593.07613221805</v>
      </c>
      <c r="T87" s="7">
        <v>11557.534912610094</v>
      </c>
      <c r="U87" s="7">
        <v>10459.307613221805</v>
      </c>
      <c r="V87" s="132">
        <f t="shared" si="57"/>
        <v>116538.55871383002</v>
      </c>
      <c r="W87" s="7">
        <v>106423.45496453188</v>
      </c>
      <c r="X87" s="7">
        <v>11759.791773580773</v>
      </c>
      <c r="Y87" s="7">
        <v>10642.345496453188</v>
      </c>
      <c r="Z87" s="8">
        <f t="shared" si="58"/>
        <v>120034.71547524493</v>
      </c>
    </row>
    <row r="88" spans="1:26" x14ac:dyDescent="0.25">
      <c r="A88" s="119" t="s">
        <v>266</v>
      </c>
      <c r="B88" s="134"/>
      <c r="C88" s="34">
        <v>0</v>
      </c>
      <c r="D88" s="7"/>
      <c r="E88" s="7"/>
      <c r="F88" s="8"/>
      <c r="G88" s="7"/>
      <c r="H88" s="7"/>
      <c r="I88" s="7"/>
      <c r="J88" s="7">
        <f t="shared" si="54"/>
        <v>106649.29000000001</v>
      </c>
      <c r="K88" s="34">
        <v>101026.21918125002</v>
      </c>
      <c r="L88" s="7">
        <v>11163.397219528128</v>
      </c>
      <c r="M88" s="7">
        <v>10102.621918125004</v>
      </c>
      <c r="N88" s="132">
        <f t="shared" si="55"/>
        <v>109848.76870000002</v>
      </c>
      <c r="O88" s="7">
        <v>102794.17801692191</v>
      </c>
      <c r="P88" s="7">
        <v>11358.756670869872</v>
      </c>
      <c r="Q88" s="7">
        <v>10279.417801692192</v>
      </c>
      <c r="R88" s="7">
        <f t="shared" si="56"/>
        <v>113144.23176100002</v>
      </c>
      <c r="S88" s="34">
        <v>104593.07613221805</v>
      </c>
      <c r="T88" s="7">
        <v>11557.534912610094</v>
      </c>
      <c r="U88" s="7">
        <v>10459.307613221805</v>
      </c>
      <c r="V88" s="132">
        <f t="shared" si="57"/>
        <v>116538.55871383002</v>
      </c>
      <c r="W88" s="7">
        <v>106423.45496453188</v>
      </c>
      <c r="X88" s="7">
        <v>11759.791773580773</v>
      </c>
      <c r="Y88" s="7">
        <v>10642.345496453188</v>
      </c>
      <c r="Z88" s="8">
        <f t="shared" si="58"/>
        <v>120034.71547524493</v>
      </c>
    </row>
    <row r="89" spans="1:26" x14ac:dyDescent="0.25">
      <c r="A89" s="119" t="s">
        <v>266</v>
      </c>
      <c r="B89" s="134"/>
      <c r="C89" s="34">
        <v>0</v>
      </c>
      <c r="D89" s="7"/>
      <c r="E89" s="7"/>
      <c r="F89" s="8"/>
      <c r="G89" s="7"/>
      <c r="H89" s="7"/>
      <c r="I89" s="7"/>
      <c r="J89" s="7">
        <f t="shared" si="54"/>
        <v>106649.29000000001</v>
      </c>
      <c r="K89" s="34">
        <v>101026.21918125002</v>
      </c>
      <c r="L89" s="7">
        <v>11163.397219528128</v>
      </c>
      <c r="M89" s="7">
        <v>10102.621918125004</v>
      </c>
      <c r="N89" s="132">
        <f t="shared" si="55"/>
        <v>109848.76870000002</v>
      </c>
      <c r="O89" s="7">
        <v>102794.17801692191</v>
      </c>
      <c r="P89" s="7">
        <v>11358.756670869872</v>
      </c>
      <c r="Q89" s="7">
        <v>10279.417801692192</v>
      </c>
      <c r="R89" s="7">
        <f t="shared" si="56"/>
        <v>113144.23176100002</v>
      </c>
      <c r="S89" s="34">
        <v>104593.07613221805</v>
      </c>
      <c r="T89" s="7">
        <v>11557.534912610094</v>
      </c>
      <c r="U89" s="7">
        <v>10459.307613221805</v>
      </c>
      <c r="V89" s="132">
        <f t="shared" si="57"/>
        <v>116538.55871383002</v>
      </c>
      <c r="W89" s="7">
        <v>106423.45496453188</v>
      </c>
      <c r="X89" s="7">
        <v>11759.791773580773</v>
      </c>
      <c r="Y89" s="7">
        <v>10642.345496453188</v>
      </c>
      <c r="Z89" s="8">
        <f t="shared" si="58"/>
        <v>120034.71547524493</v>
      </c>
    </row>
    <row r="90" spans="1:26" ht="15.75" thickBot="1" x14ac:dyDescent="0.3">
      <c r="A90" s="119" t="s">
        <v>266</v>
      </c>
      <c r="B90" s="134"/>
      <c r="C90" s="34">
        <v>0</v>
      </c>
      <c r="D90" s="7"/>
      <c r="E90" s="7"/>
      <c r="F90" s="8"/>
      <c r="G90" s="7"/>
      <c r="H90" s="7"/>
      <c r="I90" s="7"/>
      <c r="J90" s="7">
        <f t="shared" si="54"/>
        <v>106649.29000000001</v>
      </c>
      <c r="K90" s="34">
        <v>101026.21918125002</v>
      </c>
      <c r="L90" s="7">
        <v>11163.397219528128</v>
      </c>
      <c r="M90" s="7">
        <v>10102.621918125004</v>
      </c>
      <c r="N90" s="132">
        <f t="shared" si="55"/>
        <v>109848.76870000002</v>
      </c>
      <c r="O90" s="7">
        <v>102794.17801692191</v>
      </c>
      <c r="P90" s="7">
        <v>11358.756670869872</v>
      </c>
      <c r="Q90" s="7">
        <v>10279.417801692192</v>
      </c>
      <c r="R90" s="7">
        <f t="shared" si="56"/>
        <v>113144.23176100002</v>
      </c>
      <c r="S90" s="34">
        <v>104593.07613221805</v>
      </c>
      <c r="T90" s="7">
        <v>11557.534912610094</v>
      </c>
      <c r="U90" s="7">
        <v>10459.307613221805</v>
      </c>
      <c r="V90" s="132">
        <f t="shared" si="57"/>
        <v>116538.55871383002</v>
      </c>
      <c r="W90" s="7">
        <v>106423.45496453188</v>
      </c>
      <c r="X90" s="7">
        <v>11759.791773580773</v>
      </c>
      <c r="Y90" s="7">
        <v>10642.345496453188</v>
      </c>
      <c r="Z90" s="8">
        <f t="shared" si="58"/>
        <v>120034.71547524493</v>
      </c>
    </row>
    <row r="91" spans="1:26" x14ac:dyDescent="0.25">
      <c r="A91" s="26" t="s">
        <v>56</v>
      </c>
      <c r="B91" s="133">
        <v>1</v>
      </c>
      <c r="C91" s="316">
        <v>59370</v>
      </c>
      <c r="D91" s="28">
        <f t="shared" si="0"/>
        <v>0</v>
      </c>
      <c r="E91" s="28">
        <f t="shared" si="1"/>
        <v>0</v>
      </c>
      <c r="F91" s="29">
        <f>SUM(C91:E91)</f>
        <v>59370</v>
      </c>
      <c r="G91" s="28">
        <f t="shared" si="18"/>
        <v>61151.1</v>
      </c>
      <c r="H91" s="28">
        <f t="shared" si="3"/>
        <v>0</v>
      </c>
      <c r="I91" s="28">
        <f t="shared" si="4"/>
        <v>0</v>
      </c>
      <c r="J91" s="28">
        <f>SUM(G91:I91)</f>
        <v>61151.1</v>
      </c>
      <c r="K91" s="37">
        <f t="shared" si="19"/>
        <v>62985.633000000002</v>
      </c>
      <c r="L91" s="28">
        <f t="shared" si="6"/>
        <v>0</v>
      </c>
      <c r="M91" s="28">
        <f t="shared" si="7"/>
        <v>0</v>
      </c>
      <c r="N91" s="131">
        <f>SUM(K91:M91)</f>
        <v>62985.633000000002</v>
      </c>
      <c r="O91" s="28">
        <f t="shared" si="20"/>
        <v>64875.201990000001</v>
      </c>
      <c r="P91" s="28">
        <f t="shared" si="9"/>
        <v>0</v>
      </c>
      <c r="Q91" s="28">
        <f t="shared" si="10"/>
        <v>0</v>
      </c>
      <c r="R91" s="28">
        <f>SUM(O91:Q91)</f>
        <v>64875.201990000001</v>
      </c>
      <c r="S91" s="37">
        <f t="shared" si="21"/>
        <v>66821.458049699999</v>
      </c>
      <c r="T91" s="28">
        <f t="shared" si="12"/>
        <v>0</v>
      </c>
      <c r="U91" s="28">
        <f t="shared" si="13"/>
        <v>0</v>
      </c>
      <c r="V91" s="131">
        <f>SUM(S91:U91)</f>
        <v>66821.458049699999</v>
      </c>
      <c r="W91" s="28">
        <f t="shared" si="22"/>
        <v>68826.101791191002</v>
      </c>
      <c r="X91" s="28">
        <f t="shared" si="15"/>
        <v>0</v>
      </c>
      <c r="Y91" s="28">
        <f t="shared" si="16"/>
        <v>0</v>
      </c>
      <c r="Z91" s="29">
        <f>SUM(W91:Y91)</f>
        <v>68826.101791191002</v>
      </c>
    </row>
    <row r="92" spans="1:26" x14ac:dyDescent="0.25">
      <c r="A92" s="24" t="s">
        <v>61</v>
      </c>
      <c r="B92" s="134">
        <v>2</v>
      </c>
      <c r="C92" s="317">
        <v>61400</v>
      </c>
      <c r="D92" s="7">
        <f t="shared" si="0"/>
        <v>0</v>
      </c>
      <c r="E92" s="7">
        <f t="shared" si="1"/>
        <v>0</v>
      </c>
      <c r="F92" s="8">
        <f t="shared" ref="F92:F97" si="59">SUM(C92:E92)</f>
        <v>61400</v>
      </c>
      <c r="G92" s="7">
        <f t="shared" si="18"/>
        <v>63242</v>
      </c>
      <c r="H92" s="7">
        <f t="shared" si="3"/>
        <v>0</v>
      </c>
      <c r="I92" s="7">
        <f t="shared" si="4"/>
        <v>0</v>
      </c>
      <c r="J92" s="7">
        <f t="shared" ref="J92:J97" si="60">SUM(G92:I92)</f>
        <v>63242</v>
      </c>
      <c r="K92" s="34">
        <f t="shared" si="19"/>
        <v>65139.26</v>
      </c>
      <c r="L92" s="7">
        <f t="shared" si="6"/>
        <v>0</v>
      </c>
      <c r="M92" s="7">
        <f t="shared" si="7"/>
        <v>0</v>
      </c>
      <c r="N92" s="132">
        <f t="shared" ref="N92:N97" si="61">SUM(K92:M92)</f>
        <v>65139.26</v>
      </c>
      <c r="O92" s="7">
        <f t="shared" si="20"/>
        <v>67093.4378</v>
      </c>
      <c r="P92" s="7">
        <f t="shared" si="9"/>
        <v>0</v>
      </c>
      <c r="Q92" s="7">
        <f t="shared" si="10"/>
        <v>0</v>
      </c>
      <c r="R92" s="7">
        <f t="shared" ref="R92:R97" si="62">SUM(O92:Q92)</f>
        <v>67093.4378</v>
      </c>
      <c r="S92" s="34">
        <f t="shared" si="21"/>
        <v>69106.240934000001</v>
      </c>
      <c r="T92" s="7">
        <f t="shared" si="12"/>
        <v>0</v>
      </c>
      <c r="U92" s="7">
        <f t="shared" si="13"/>
        <v>0</v>
      </c>
      <c r="V92" s="132">
        <f t="shared" ref="V92:V97" si="63">SUM(S92:U92)</f>
        <v>69106.240934000001</v>
      </c>
      <c r="W92" s="7">
        <f t="shared" si="22"/>
        <v>71179.428162020005</v>
      </c>
      <c r="X92" s="7">
        <f t="shared" si="15"/>
        <v>0</v>
      </c>
      <c r="Y92" s="7">
        <f t="shared" si="16"/>
        <v>0</v>
      </c>
      <c r="Z92" s="8">
        <f t="shared" ref="Z92:Z97" si="64">SUM(W92:Y92)</f>
        <v>71179.428162020005</v>
      </c>
    </row>
    <row r="93" spans="1:26" x14ac:dyDescent="0.25">
      <c r="A93" s="24" t="s">
        <v>57</v>
      </c>
      <c r="B93" s="134">
        <v>3</v>
      </c>
      <c r="C93" s="317">
        <v>72271</v>
      </c>
      <c r="D93" s="7">
        <f t="shared" si="0"/>
        <v>0</v>
      </c>
      <c r="E93" s="7">
        <f t="shared" si="1"/>
        <v>0</v>
      </c>
      <c r="F93" s="8">
        <f t="shared" si="59"/>
        <v>72271</v>
      </c>
      <c r="G93" s="7">
        <f t="shared" si="18"/>
        <v>74439.13</v>
      </c>
      <c r="H93" s="7">
        <f t="shared" si="3"/>
        <v>0</v>
      </c>
      <c r="I93" s="7">
        <f t="shared" si="4"/>
        <v>0</v>
      </c>
      <c r="J93" s="7">
        <f t="shared" si="60"/>
        <v>74439.13</v>
      </c>
      <c r="K93" s="34">
        <f t="shared" si="19"/>
        <v>76672.303900000014</v>
      </c>
      <c r="L93" s="7">
        <f t="shared" si="6"/>
        <v>0</v>
      </c>
      <c r="M93" s="7">
        <f t="shared" si="7"/>
        <v>0</v>
      </c>
      <c r="N93" s="132">
        <f t="shared" si="61"/>
        <v>76672.303900000014</v>
      </c>
      <c r="O93" s="7">
        <f t="shared" si="20"/>
        <v>78972.473017000011</v>
      </c>
      <c r="P93" s="7">
        <f t="shared" si="9"/>
        <v>0</v>
      </c>
      <c r="Q93" s="7">
        <f t="shared" si="10"/>
        <v>0</v>
      </c>
      <c r="R93" s="7">
        <f t="shared" si="62"/>
        <v>78972.473017000011</v>
      </c>
      <c r="S93" s="34">
        <f t="shared" si="21"/>
        <v>81341.647207510017</v>
      </c>
      <c r="T93" s="7">
        <f t="shared" si="12"/>
        <v>0</v>
      </c>
      <c r="U93" s="7">
        <f t="shared" si="13"/>
        <v>0</v>
      </c>
      <c r="V93" s="132">
        <f t="shared" si="63"/>
        <v>81341.647207510017</v>
      </c>
      <c r="W93" s="7">
        <f t="shared" si="22"/>
        <v>83781.896623735316</v>
      </c>
      <c r="X93" s="7">
        <f t="shared" si="15"/>
        <v>0</v>
      </c>
      <c r="Y93" s="7">
        <f t="shared" si="16"/>
        <v>0</v>
      </c>
      <c r="Z93" s="8">
        <f t="shared" si="64"/>
        <v>83781.896623735316</v>
      </c>
    </row>
    <row r="94" spans="1:26" x14ac:dyDescent="0.25">
      <c r="A94" s="24" t="s">
        <v>58</v>
      </c>
      <c r="B94" s="134">
        <v>4</v>
      </c>
      <c r="C94" s="317">
        <v>76794</v>
      </c>
      <c r="D94" s="7">
        <f t="shared" si="0"/>
        <v>0</v>
      </c>
      <c r="E94" s="7">
        <f t="shared" si="1"/>
        <v>0</v>
      </c>
      <c r="F94" s="8">
        <f t="shared" si="59"/>
        <v>76794</v>
      </c>
      <c r="G94" s="7">
        <f t="shared" si="18"/>
        <v>79097.820000000007</v>
      </c>
      <c r="H94" s="7">
        <f t="shared" si="3"/>
        <v>0</v>
      </c>
      <c r="I94" s="7">
        <f t="shared" si="4"/>
        <v>0</v>
      </c>
      <c r="J94" s="7">
        <f t="shared" si="60"/>
        <v>79097.820000000007</v>
      </c>
      <c r="K94" s="34">
        <f t="shared" si="19"/>
        <v>81470.754600000015</v>
      </c>
      <c r="L94" s="7">
        <f t="shared" si="6"/>
        <v>0</v>
      </c>
      <c r="M94" s="7">
        <f t="shared" si="7"/>
        <v>0</v>
      </c>
      <c r="N94" s="132">
        <f t="shared" si="61"/>
        <v>81470.754600000015</v>
      </c>
      <c r="O94" s="7">
        <f t="shared" si="20"/>
        <v>83914.877238000015</v>
      </c>
      <c r="P94" s="7">
        <f t="shared" si="9"/>
        <v>0</v>
      </c>
      <c r="Q94" s="7">
        <f t="shared" si="10"/>
        <v>0</v>
      </c>
      <c r="R94" s="7">
        <f t="shared" si="62"/>
        <v>83914.877238000015</v>
      </c>
      <c r="S94" s="34">
        <f t="shared" si="21"/>
        <v>86432.323555140014</v>
      </c>
      <c r="T94" s="7">
        <f t="shared" si="12"/>
        <v>0</v>
      </c>
      <c r="U94" s="7">
        <f t="shared" si="13"/>
        <v>0</v>
      </c>
      <c r="V94" s="132">
        <f t="shared" si="63"/>
        <v>86432.323555140014</v>
      </c>
      <c r="W94" s="7">
        <f t="shared" si="22"/>
        <v>89025.293261794213</v>
      </c>
      <c r="X94" s="7">
        <f t="shared" si="15"/>
        <v>0</v>
      </c>
      <c r="Y94" s="7">
        <f t="shared" si="16"/>
        <v>0</v>
      </c>
      <c r="Z94" s="8">
        <f t="shared" si="64"/>
        <v>89025.293261794213</v>
      </c>
    </row>
    <row r="95" spans="1:26" x14ac:dyDescent="0.25">
      <c r="A95" s="24" t="s">
        <v>59</v>
      </c>
      <c r="B95" s="134">
        <v>5</v>
      </c>
      <c r="C95" s="317">
        <v>82542</v>
      </c>
      <c r="D95" s="7">
        <f t="shared" si="0"/>
        <v>0</v>
      </c>
      <c r="E95" s="7">
        <f t="shared" si="1"/>
        <v>0</v>
      </c>
      <c r="F95" s="8">
        <f t="shared" si="59"/>
        <v>82542</v>
      </c>
      <c r="G95" s="7">
        <f t="shared" si="18"/>
        <v>85018.260000000009</v>
      </c>
      <c r="H95" s="7">
        <f t="shared" si="3"/>
        <v>0</v>
      </c>
      <c r="I95" s="7">
        <f t="shared" si="4"/>
        <v>0</v>
      </c>
      <c r="J95" s="7">
        <f t="shared" si="60"/>
        <v>85018.260000000009</v>
      </c>
      <c r="K95" s="34">
        <f t="shared" si="19"/>
        <v>87568.80780000001</v>
      </c>
      <c r="L95" s="7">
        <f t="shared" si="6"/>
        <v>0</v>
      </c>
      <c r="M95" s="7">
        <f t="shared" si="7"/>
        <v>0</v>
      </c>
      <c r="N95" s="132">
        <f t="shared" si="61"/>
        <v>87568.80780000001</v>
      </c>
      <c r="O95" s="7">
        <f t="shared" si="20"/>
        <v>90195.872034000015</v>
      </c>
      <c r="P95" s="7">
        <f t="shared" si="9"/>
        <v>0</v>
      </c>
      <c r="Q95" s="7">
        <f t="shared" si="10"/>
        <v>0</v>
      </c>
      <c r="R95" s="7">
        <f t="shared" si="62"/>
        <v>90195.872034000015</v>
      </c>
      <c r="S95" s="34">
        <f t="shared" si="21"/>
        <v>92901.748195020016</v>
      </c>
      <c r="T95" s="7">
        <f t="shared" si="12"/>
        <v>0</v>
      </c>
      <c r="U95" s="7">
        <f t="shared" si="13"/>
        <v>0</v>
      </c>
      <c r="V95" s="132">
        <f t="shared" si="63"/>
        <v>92901.748195020016</v>
      </c>
      <c r="W95" s="7">
        <f t="shared" si="22"/>
        <v>95688.800640870613</v>
      </c>
      <c r="X95" s="7">
        <f t="shared" si="15"/>
        <v>0</v>
      </c>
      <c r="Y95" s="7">
        <f t="shared" si="16"/>
        <v>0</v>
      </c>
      <c r="Z95" s="8">
        <f t="shared" si="64"/>
        <v>95688.800640870613</v>
      </c>
    </row>
    <row r="96" spans="1:26" x14ac:dyDescent="0.25">
      <c r="A96" s="24" t="s">
        <v>62</v>
      </c>
      <c r="B96" s="134">
        <v>6</v>
      </c>
      <c r="C96" s="317">
        <v>88288</v>
      </c>
      <c r="D96" s="7">
        <f t="shared" si="0"/>
        <v>0</v>
      </c>
      <c r="E96" s="7">
        <f t="shared" si="1"/>
        <v>0</v>
      </c>
      <c r="F96" s="8">
        <f t="shared" si="59"/>
        <v>88288</v>
      </c>
      <c r="G96" s="7">
        <f t="shared" si="18"/>
        <v>90936.639999999999</v>
      </c>
      <c r="H96" s="7">
        <f t="shared" si="3"/>
        <v>0</v>
      </c>
      <c r="I96" s="7">
        <f t="shared" si="4"/>
        <v>0</v>
      </c>
      <c r="J96" s="7">
        <f t="shared" si="60"/>
        <v>90936.639999999999</v>
      </c>
      <c r="K96" s="34">
        <f t="shared" si="19"/>
        <v>93664.739199999996</v>
      </c>
      <c r="L96" s="7">
        <f t="shared" si="6"/>
        <v>0</v>
      </c>
      <c r="M96" s="7">
        <f t="shared" si="7"/>
        <v>0</v>
      </c>
      <c r="N96" s="132">
        <f t="shared" si="61"/>
        <v>93664.739199999996</v>
      </c>
      <c r="O96" s="7">
        <f t="shared" si="20"/>
        <v>96474.681375999993</v>
      </c>
      <c r="P96" s="7">
        <f t="shared" si="9"/>
        <v>0</v>
      </c>
      <c r="Q96" s="7">
        <f t="shared" si="10"/>
        <v>0</v>
      </c>
      <c r="R96" s="7">
        <f t="shared" si="62"/>
        <v>96474.681375999993</v>
      </c>
      <c r="S96" s="34">
        <f t="shared" si="21"/>
        <v>99368.921817279988</v>
      </c>
      <c r="T96" s="7">
        <f t="shared" si="12"/>
        <v>0</v>
      </c>
      <c r="U96" s="7">
        <f t="shared" si="13"/>
        <v>0</v>
      </c>
      <c r="V96" s="132">
        <f t="shared" si="63"/>
        <v>99368.921817279988</v>
      </c>
      <c r="W96" s="7">
        <f t="shared" si="22"/>
        <v>102349.98947179838</v>
      </c>
      <c r="X96" s="7">
        <f t="shared" si="15"/>
        <v>0</v>
      </c>
      <c r="Y96" s="7">
        <f t="shared" si="16"/>
        <v>0</v>
      </c>
      <c r="Z96" s="8">
        <f t="shared" si="64"/>
        <v>102349.98947179838</v>
      </c>
    </row>
    <row r="97" spans="1:26" x14ac:dyDescent="0.25">
      <c r="A97" s="24" t="s">
        <v>60</v>
      </c>
      <c r="B97" s="134">
        <v>7</v>
      </c>
      <c r="C97" s="317">
        <v>94015</v>
      </c>
      <c r="D97" s="7">
        <f>C97*$F$2</f>
        <v>0</v>
      </c>
      <c r="E97" s="7">
        <f t="shared" si="1"/>
        <v>0</v>
      </c>
      <c r="F97" s="8">
        <f t="shared" si="59"/>
        <v>94015</v>
      </c>
      <c r="G97" s="7">
        <f t="shared" si="18"/>
        <v>96835.45</v>
      </c>
      <c r="H97" s="7">
        <f>G97*$F$2</f>
        <v>0</v>
      </c>
      <c r="I97" s="7">
        <f t="shared" si="4"/>
        <v>0</v>
      </c>
      <c r="J97" s="7">
        <f t="shared" si="60"/>
        <v>96835.45</v>
      </c>
      <c r="K97" s="34">
        <f t="shared" si="19"/>
        <v>99740.513500000001</v>
      </c>
      <c r="L97" s="7">
        <f>K97*$F$2</f>
        <v>0</v>
      </c>
      <c r="M97" s="7">
        <f t="shared" si="7"/>
        <v>0</v>
      </c>
      <c r="N97" s="132">
        <f t="shared" si="61"/>
        <v>99740.513500000001</v>
      </c>
      <c r="O97" s="7">
        <f t="shared" si="20"/>
        <v>102732.72890500001</v>
      </c>
      <c r="P97" s="7">
        <f>O97*$F$2</f>
        <v>0</v>
      </c>
      <c r="Q97" s="7">
        <f t="shared" si="10"/>
        <v>0</v>
      </c>
      <c r="R97" s="7">
        <f t="shared" si="62"/>
        <v>102732.72890500001</v>
      </c>
      <c r="S97" s="34">
        <f t="shared" si="21"/>
        <v>105814.71077215001</v>
      </c>
      <c r="T97" s="7">
        <f>S97*$F$2</f>
        <v>0</v>
      </c>
      <c r="U97" s="7">
        <f t="shared" si="13"/>
        <v>0</v>
      </c>
      <c r="V97" s="132">
        <f t="shared" si="63"/>
        <v>105814.71077215001</v>
      </c>
      <c r="W97" s="7">
        <f t="shared" si="22"/>
        <v>108989.15209531451</v>
      </c>
      <c r="X97" s="7">
        <f>W97*$F$2</f>
        <v>0</v>
      </c>
      <c r="Y97" s="7">
        <f t="shared" si="16"/>
        <v>0</v>
      </c>
      <c r="Z97" s="8">
        <f t="shared" si="64"/>
        <v>108989.15209531451</v>
      </c>
    </row>
    <row r="98" spans="1:26" x14ac:dyDescent="0.25">
      <c r="A98" s="119" t="s">
        <v>266</v>
      </c>
      <c r="B98" s="134"/>
      <c r="C98" s="34">
        <v>0</v>
      </c>
      <c r="D98" s="7"/>
      <c r="E98" s="7"/>
      <c r="F98" s="8"/>
      <c r="G98" s="7"/>
      <c r="H98" s="7"/>
      <c r="I98" s="7"/>
      <c r="J98" s="7">
        <f>$J$97</f>
        <v>96835.45</v>
      </c>
      <c r="K98" s="34">
        <v>91729.169056250015</v>
      </c>
      <c r="L98" s="7">
        <v>10136.073180715626</v>
      </c>
      <c r="M98" s="7">
        <v>9172.9169056250012</v>
      </c>
      <c r="N98" s="132">
        <f>$N$97</f>
        <v>99740.513500000001</v>
      </c>
      <c r="O98" s="7">
        <v>93334.429514734395</v>
      </c>
      <c r="P98" s="7">
        <v>10313.454461378151</v>
      </c>
      <c r="Q98" s="7">
        <v>9333.4429514734402</v>
      </c>
      <c r="R98" s="7">
        <f>$R$97</f>
        <v>102732.72890500001</v>
      </c>
      <c r="S98" s="34">
        <v>94967.782031242255</v>
      </c>
      <c r="T98" s="7">
        <v>10493.939914452269</v>
      </c>
      <c r="U98" s="7">
        <v>9496.7782031242259</v>
      </c>
      <c r="V98" s="132">
        <f>$V$97</f>
        <v>105814.71077215001</v>
      </c>
      <c r="W98" s="7">
        <v>96629.718216788999</v>
      </c>
      <c r="X98" s="7">
        <v>10677.583862955184</v>
      </c>
      <c r="Y98" s="7">
        <v>9662.9718216789006</v>
      </c>
      <c r="Z98" s="8">
        <f>$Z$97</f>
        <v>108989.15209531451</v>
      </c>
    </row>
    <row r="99" spans="1:26" x14ac:dyDescent="0.25">
      <c r="A99" s="119" t="s">
        <v>266</v>
      </c>
      <c r="B99" s="134"/>
      <c r="C99" s="34">
        <v>0</v>
      </c>
      <c r="D99" s="7"/>
      <c r="E99" s="7"/>
      <c r="F99" s="8"/>
      <c r="G99" s="7"/>
      <c r="H99" s="7"/>
      <c r="I99" s="7"/>
      <c r="J99" s="7">
        <f t="shared" ref="J99:J104" si="65">$J$97</f>
        <v>96835.45</v>
      </c>
      <c r="K99" s="34">
        <v>91729.169056250015</v>
      </c>
      <c r="L99" s="7">
        <v>10136.073180715626</v>
      </c>
      <c r="M99" s="7">
        <v>9172.9169056250012</v>
      </c>
      <c r="N99" s="132">
        <f t="shared" ref="N99:N104" si="66">$N$97</f>
        <v>99740.513500000001</v>
      </c>
      <c r="O99" s="7">
        <v>93334.429514734395</v>
      </c>
      <c r="P99" s="7">
        <v>10313.454461378151</v>
      </c>
      <c r="Q99" s="7">
        <v>9333.4429514734402</v>
      </c>
      <c r="R99" s="7">
        <f t="shared" ref="R99:R104" si="67">$R$97</f>
        <v>102732.72890500001</v>
      </c>
      <c r="S99" s="34">
        <v>94967.782031242255</v>
      </c>
      <c r="T99" s="7">
        <v>10493.939914452269</v>
      </c>
      <c r="U99" s="7">
        <v>9496.7782031242259</v>
      </c>
      <c r="V99" s="132">
        <f t="shared" ref="V99:V104" si="68">$V$97</f>
        <v>105814.71077215001</v>
      </c>
      <c r="W99" s="7">
        <v>96629.718216788999</v>
      </c>
      <c r="X99" s="7">
        <v>10677.583862955184</v>
      </c>
      <c r="Y99" s="7">
        <v>9662.9718216789006</v>
      </c>
      <c r="Z99" s="8">
        <f t="shared" ref="Z99:Z104" si="69">$Z$97</f>
        <v>108989.15209531451</v>
      </c>
    </row>
    <row r="100" spans="1:26" x14ac:dyDescent="0.25">
      <c r="A100" s="119" t="s">
        <v>266</v>
      </c>
      <c r="B100" s="134"/>
      <c r="C100" s="34">
        <v>0</v>
      </c>
      <c r="D100" s="7"/>
      <c r="E100" s="7"/>
      <c r="F100" s="8"/>
      <c r="G100" s="7"/>
      <c r="H100" s="7"/>
      <c r="I100" s="7"/>
      <c r="J100" s="7">
        <f t="shared" si="65"/>
        <v>96835.45</v>
      </c>
      <c r="K100" s="34">
        <v>91729.169056250015</v>
      </c>
      <c r="L100" s="7">
        <v>10136.073180715626</v>
      </c>
      <c r="M100" s="7">
        <v>9172.9169056250012</v>
      </c>
      <c r="N100" s="132">
        <f t="shared" si="66"/>
        <v>99740.513500000001</v>
      </c>
      <c r="O100" s="7">
        <v>93334.429514734395</v>
      </c>
      <c r="P100" s="7">
        <v>10313.454461378151</v>
      </c>
      <c r="Q100" s="7">
        <v>9333.4429514734402</v>
      </c>
      <c r="R100" s="7">
        <f t="shared" si="67"/>
        <v>102732.72890500001</v>
      </c>
      <c r="S100" s="34">
        <v>94967.782031242255</v>
      </c>
      <c r="T100" s="7">
        <v>10493.939914452269</v>
      </c>
      <c r="U100" s="7">
        <v>9496.7782031242259</v>
      </c>
      <c r="V100" s="132">
        <f t="shared" si="68"/>
        <v>105814.71077215001</v>
      </c>
      <c r="W100" s="7">
        <v>96629.718216788999</v>
      </c>
      <c r="X100" s="7">
        <v>10677.583862955184</v>
      </c>
      <c r="Y100" s="7">
        <v>9662.9718216789006</v>
      </c>
      <c r="Z100" s="8">
        <f t="shared" si="69"/>
        <v>108989.15209531451</v>
      </c>
    </row>
    <row r="101" spans="1:26" x14ac:dyDescent="0.25">
      <c r="A101" s="119" t="s">
        <v>266</v>
      </c>
      <c r="B101" s="134"/>
      <c r="C101" s="34">
        <v>0</v>
      </c>
      <c r="D101" s="7"/>
      <c r="E101" s="7"/>
      <c r="F101" s="8"/>
      <c r="G101" s="7"/>
      <c r="H101" s="7"/>
      <c r="I101" s="7"/>
      <c r="J101" s="7">
        <f t="shared" si="65"/>
        <v>96835.45</v>
      </c>
      <c r="K101" s="34">
        <v>91729.169056250015</v>
      </c>
      <c r="L101" s="7">
        <v>10136.073180715626</v>
      </c>
      <c r="M101" s="7">
        <v>9172.9169056250012</v>
      </c>
      <c r="N101" s="132">
        <f t="shared" si="66"/>
        <v>99740.513500000001</v>
      </c>
      <c r="O101" s="7">
        <v>93334.429514734395</v>
      </c>
      <c r="P101" s="7">
        <v>10313.454461378151</v>
      </c>
      <c r="Q101" s="7">
        <v>9333.4429514734402</v>
      </c>
      <c r="R101" s="7">
        <f t="shared" si="67"/>
        <v>102732.72890500001</v>
      </c>
      <c r="S101" s="34">
        <v>94967.782031242255</v>
      </c>
      <c r="T101" s="7">
        <v>10493.939914452269</v>
      </c>
      <c r="U101" s="7">
        <v>9496.7782031242259</v>
      </c>
      <c r="V101" s="132">
        <f t="shared" si="68"/>
        <v>105814.71077215001</v>
      </c>
      <c r="W101" s="7">
        <v>96629.718216788999</v>
      </c>
      <c r="X101" s="7">
        <v>10677.583862955184</v>
      </c>
      <c r="Y101" s="7">
        <v>9662.9718216789006</v>
      </c>
      <c r="Z101" s="8">
        <f t="shared" si="69"/>
        <v>108989.15209531451</v>
      </c>
    </row>
    <row r="102" spans="1:26" x14ac:dyDescent="0.25">
      <c r="A102" s="119" t="s">
        <v>266</v>
      </c>
      <c r="B102" s="134"/>
      <c r="C102" s="34">
        <v>0</v>
      </c>
      <c r="D102" s="7"/>
      <c r="E102" s="7"/>
      <c r="F102" s="8"/>
      <c r="G102" s="7"/>
      <c r="H102" s="7"/>
      <c r="I102" s="7"/>
      <c r="J102" s="7">
        <f t="shared" si="65"/>
        <v>96835.45</v>
      </c>
      <c r="K102" s="34">
        <v>91729.169056250015</v>
      </c>
      <c r="L102" s="7">
        <v>10136.073180715626</v>
      </c>
      <c r="M102" s="7">
        <v>9172.9169056250012</v>
      </c>
      <c r="N102" s="132">
        <f t="shared" si="66"/>
        <v>99740.513500000001</v>
      </c>
      <c r="O102" s="7">
        <v>93334.429514734395</v>
      </c>
      <c r="P102" s="7">
        <v>10313.454461378151</v>
      </c>
      <c r="Q102" s="7">
        <v>9333.4429514734402</v>
      </c>
      <c r="R102" s="7">
        <f t="shared" si="67"/>
        <v>102732.72890500001</v>
      </c>
      <c r="S102" s="34">
        <v>94967.782031242255</v>
      </c>
      <c r="T102" s="7">
        <v>10493.939914452269</v>
      </c>
      <c r="U102" s="7">
        <v>9496.7782031242259</v>
      </c>
      <c r="V102" s="132">
        <f t="shared" si="68"/>
        <v>105814.71077215001</v>
      </c>
      <c r="W102" s="7">
        <v>96629.718216788999</v>
      </c>
      <c r="X102" s="7">
        <v>10677.583862955184</v>
      </c>
      <c r="Y102" s="7">
        <v>9662.9718216789006</v>
      </c>
      <c r="Z102" s="8">
        <f t="shared" si="69"/>
        <v>108989.15209531451</v>
      </c>
    </row>
    <row r="103" spans="1:26" x14ac:dyDescent="0.25">
      <c r="A103" s="119" t="s">
        <v>266</v>
      </c>
      <c r="B103" s="134"/>
      <c r="C103" s="34">
        <v>0</v>
      </c>
      <c r="D103" s="7"/>
      <c r="E103" s="7"/>
      <c r="F103" s="8"/>
      <c r="G103" s="7"/>
      <c r="H103" s="7"/>
      <c r="I103" s="7"/>
      <c r="J103" s="7">
        <f t="shared" si="65"/>
        <v>96835.45</v>
      </c>
      <c r="K103" s="34">
        <v>91729.169056250015</v>
      </c>
      <c r="L103" s="7">
        <v>10136.073180715626</v>
      </c>
      <c r="M103" s="7">
        <v>9172.9169056250012</v>
      </c>
      <c r="N103" s="132">
        <f t="shared" si="66"/>
        <v>99740.513500000001</v>
      </c>
      <c r="O103" s="7">
        <v>93334.429514734395</v>
      </c>
      <c r="P103" s="7">
        <v>10313.454461378151</v>
      </c>
      <c r="Q103" s="7">
        <v>9333.4429514734402</v>
      </c>
      <c r="R103" s="7">
        <f t="shared" si="67"/>
        <v>102732.72890500001</v>
      </c>
      <c r="S103" s="34">
        <v>94967.782031242255</v>
      </c>
      <c r="T103" s="7">
        <v>10493.939914452269</v>
      </c>
      <c r="U103" s="7">
        <v>9496.7782031242259</v>
      </c>
      <c r="V103" s="132">
        <f t="shared" si="68"/>
        <v>105814.71077215001</v>
      </c>
      <c r="W103" s="7">
        <v>96629.718216788999</v>
      </c>
      <c r="X103" s="7">
        <v>10677.583862955184</v>
      </c>
      <c r="Y103" s="7">
        <v>9662.9718216789006</v>
      </c>
      <c r="Z103" s="8">
        <f t="shared" si="69"/>
        <v>108989.15209531451</v>
      </c>
    </row>
    <row r="104" spans="1:26" ht="15.75" thickBot="1" x14ac:dyDescent="0.3">
      <c r="A104" s="120" t="s">
        <v>266</v>
      </c>
      <c r="B104" s="135"/>
      <c r="C104" s="35">
        <v>0</v>
      </c>
      <c r="D104" s="10"/>
      <c r="E104" s="10"/>
      <c r="F104" s="11"/>
      <c r="G104" s="10"/>
      <c r="H104" s="10"/>
      <c r="I104" s="10"/>
      <c r="J104" s="7">
        <f t="shared" si="65"/>
        <v>96835.45</v>
      </c>
      <c r="K104" s="35">
        <v>91729.169056250015</v>
      </c>
      <c r="L104" s="10">
        <v>10136.073180715626</v>
      </c>
      <c r="M104" s="10">
        <v>9172.9169056250012</v>
      </c>
      <c r="N104" s="132">
        <f t="shared" si="66"/>
        <v>99740.513500000001</v>
      </c>
      <c r="O104" s="10">
        <v>93334.429514734395</v>
      </c>
      <c r="P104" s="10">
        <v>10313.454461378151</v>
      </c>
      <c r="Q104" s="10">
        <v>9333.4429514734402</v>
      </c>
      <c r="R104" s="7">
        <f t="shared" si="67"/>
        <v>102732.72890500001</v>
      </c>
      <c r="S104" s="35">
        <v>94967.782031242255</v>
      </c>
      <c r="T104" s="10">
        <v>10493.939914452269</v>
      </c>
      <c r="U104" s="10">
        <v>9496.7782031242259</v>
      </c>
      <c r="V104" s="132">
        <f t="shared" si="68"/>
        <v>105814.71077215001</v>
      </c>
      <c r="W104" s="10">
        <v>96629.718216788999</v>
      </c>
      <c r="X104" s="10">
        <v>10677.583862955184</v>
      </c>
      <c r="Y104" s="10">
        <v>9662.9718216789006</v>
      </c>
      <c r="Z104" s="8">
        <f t="shared" si="69"/>
        <v>108989.15209531451</v>
      </c>
    </row>
    <row r="105" spans="1:26" x14ac:dyDescent="0.25">
      <c r="A105" s="24" t="s">
        <v>63</v>
      </c>
      <c r="B105" s="134">
        <v>1</v>
      </c>
      <c r="C105" s="317">
        <v>56504</v>
      </c>
      <c r="D105" s="7">
        <f>C105*$F$2</f>
        <v>0</v>
      </c>
      <c r="E105" s="7">
        <f t="shared" si="1"/>
        <v>0</v>
      </c>
      <c r="F105" s="8">
        <f>SUM(C105:E105)</f>
        <v>56504</v>
      </c>
      <c r="G105" s="7">
        <f t="shared" si="18"/>
        <v>58199.12</v>
      </c>
      <c r="H105" s="7">
        <f>G105*$F$2</f>
        <v>0</v>
      </c>
      <c r="I105" s="7">
        <f t="shared" si="4"/>
        <v>0</v>
      </c>
      <c r="J105" s="7">
        <f>SUM(G105:I105)</f>
        <v>58199.12</v>
      </c>
      <c r="K105" s="34">
        <f t="shared" si="19"/>
        <v>59945.093600000007</v>
      </c>
      <c r="L105" s="7">
        <f>K105*$F$2</f>
        <v>0</v>
      </c>
      <c r="M105" s="7">
        <f t="shared" si="7"/>
        <v>0</v>
      </c>
      <c r="N105" s="132">
        <f>SUM(K105:M105)</f>
        <v>59945.093600000007</v>
      </c>
      <c r="O105" s="7">
        <f t="shared" si="20"/>
        <v>61743.446408000011</v>
      </c>
      <c r="P105" s="7">
        <f>O105*$F$2</f>
        <v>0</v>
      </c>
      <c r="Q105" s="7">
        <f t="shared" si="10"/>
        <v>0</v>
      </c>
      <c r="R105" s="7">
        <f>SUM(O105:Q105)</f>
        <v>61743.446408000011</v>
      </c>
      <c r="S105" s="34">
        <f t="shared" si="21"/>
        <v>63595.74980024001</v>
      </c>
      <c r="T105" s="7">
        <f>S105*$F$2</f>
        <v>0</v>
      </c>
      <c r="U105" s="7">
        <f t="shared" si="13"/>
        <v>0</v>
      </c>
      <c r="V105" s="132">
        <f>SUM(S105:U105)</f>
        <v>63595.74980024001</v>
      </c>
      <c r="W105" s="7">
        <f t="shared" si="22"/>
        <v>65503.622294247209</v>
      </c>
      <c r="X105" s="7">
        <f>W105*$F$2</f>
        <v>0</v>
      </c>
      <c r="Y105" s="7">
        <f t="shared" si="16"/>
        <v>0</v>
      </c>
      <c r="Z105" s="8">
        <f>SUM(W105:Y105)</f>
        <v>65503.622294247209</v>
      </c>
    </row>
    <row r="106" spans="1:26" x14ac:dyDescent="0.25">
      <c r="A106" s="24" t="s">
        <v>64</v>
      </c>
      <c r="B106" s="134">
        <v>2</v>
      </c>
      <c r="C106" s="317">
        <v>58423</v>
      </c>
      <c r="D106" s="7">
        <f>C106*$F$2</f>
        <v>0</v>
      </c>
      <c r="E106" s="7">
        <f t="shared" si="1"/>
        <v>0</v>
      </c>
      <c r="F106" s="8">
        <f t="shared" ref="F106:F111" si="70">SUM(C106:E106)</f>
        <v>58423</v>
      </c>
      <c r="G106" s="7">
        <f t="shared" si="18"/>
        <v>60175.69</v>
      </c>
      <c r="H106" s="7">
        <f>G106*$F$2</f>
        <v>0</v>
      </c>
      <c r="I106" s="7">
        <f t="shared" si="4"/>
        <v>0</v>
      </c>
      <c r="J106" s="7">
        <f t="shared" ref="J106:J111" si="71">SUM(G106:I106)</f>
        <v>60175.69</v>
      </c>
      <c r="K106" s="34">
        <f t="shared" si="19"/>
        <v>61980.960700000003</v>
      </c>
      <c r="L106" s="7">
        <f>K106*$F$2</f>
        <v>0</v>
      </c>
      <c r="M106" s="7">
        <f t="shared" si="7"/>
        <v>0</v>
      </c>
      <c r="N106" s="132">
        <f t="shared" ref="N106:N111" si="72">SUM(K106:M106)</f>
        <v>61980.960700000003</v>
      </c>
      <c r="O106" s="7">
        <f t="shared" si="20"/>
        <v>63840.389521000005</v>
      </c>
      <c r="P106" s="7">
        <f>O106*$F$2</f>
        <v>0</v>
      </c>
      <c r="Q106" s="7">
        <f t="shared" si="10"/>
        <v>0</v>
      </c>
      <c r="R106" s="7">
        <f t="shared" ref="R106:R111" si="73">SUM(O106:Q106)</f>
        <v>63840.389521000005</v>
      </c>
      <c r="S106" s="34">
        <f t="shared" si="21"/>
        <v>65755.601206630003</v>
      </c>
      <c r="T106" s="7">
        <f>S106*$F$2</f>
        <v>0</v>
      </c>
      <c r="U106" s="7">
        <f t="shared" si="13"/>
        <v>0</v>
      </c>
      <c r="V106" s="132">
        <f t="shared" ref="V106:V111" si="74">SUM(S106:U106)</f>
        <v>65755.601206630003</v>
      </c>
      <c r="W106" s="7">
        <f t="shared" si="22"/>
        <v>67728.269242828901</v>
      </c>
      <c r="X106" s="7">
        <f>W106*$F$2</f>
        <v>0</v>
      </c>
      <c r="Y106" s="7">
        <f t="shared" si="16"/>
        <v>0</v>
      </c>
      <c r="Z106" s="8">
        <f t="shared" ref="Z106:Z111" si="75">SUM(W106:Y106)</f>
        <v>67728.269242828901</v>
      </c>
    </row>
    <row r="107" spans="1:26" x14ac:dyDescent="0.25">
      <c r="A107" s="24" t="s">
        <v>65</v>
      </c>
      <c r="B107" s="134">
        <v>3</v>
      </c>
      <c r="C107" s="317">
        <v>68766</v>
      </c>
      <c r="D107" s="7">
        <f>C107*$F$2</f>
        <v>0</v>
      </c>
      <c r="E107" s="7">
        <f t="shared" si="1"/>
        <v>0</v>
      </c>
      <c r="F107" s="8">
        <f t="shared" si="70"/>
        <v>68766</v>
      </c>
      <c r="G107" s="7">
        <f t="shared" si="18"/>
        <v>70828.98</v>
      </c>
      <c r="H107" s="7">
        <f>G107*$F$2</f>
        <v>0</v>
      </c>
      <c r="I107" s="7">
        <f t="shared" si="4"/>
        <v>0</v>
      </c>
      <c r="J107" s="7">
        <f t="shared" si="71"/>
        <v>70828.98</v>
      </c>
      <c r="K107" s="34">
        <f t="shared" si="19"/>
        <v>72953.849399999992</v>
      </c>
      <c r="L107" s="7">
        <f>K107*$F$2</f>
        <v>0</v>
      </c>
      <c r="M107" s="7">
        <f t="shared" si="7"/>
        <v>0</v>
      </c>
      <c r="N107" s="132">
        <f t="shared" si="72"/>
        <v>72953.849399999992</v>
      </c>
      <c r="O107" s="7">
        <f t="shared" si="20"/>
        <v>75142.464882</v>
      </c>
      <c r="P107" s="7">
        <f>O107*$F$2</f>
        <v>0</v>
      </c>
      <c r="Q107" s="7">
        <f t="shared" si="10"/>
        <v>0</v>
      </c>
      <c r="R107" s="7">
        <f t="shared" si="73"/>
        <v>75142.464882</v>
      </c>
      <c r="S107" s="34">
        <f t="shared" si="21"/>
        <v>77396.738828460002</v>
      </c>
      <c r="T107" s="7">
        <f>S107*$F$2</f>
        <v>0</v>
      </c>
      <c r="U107" s="7">
        <f t="shared" si="13"/>
        <v>0</v>
      </c>
      <c r="V107" s="132">
        <f t="shared" si="74"/>
        <v>77396.738828460002</v>
      </c>
      <c r="W107" s="7">
        <f t="shared" si="22"/>
        <v>79718.640993313806</v>
      </c>
      <c r="X107" s="7">
        <f>W107*$F$2</f>
        <v>0</v>
      </c>
      <c r="Y107" s="7">
        <f t="shared" si="16"/>
        <v>0</v>
      </c>
      <c r="Z107" s="8">
        <f t="shared" si="75"/>
        <v>79718.640993313806</v>
      </c>
    </row>
    <row r="108" spans="1:26" x14ac:dyDescent="0.25">
      <c r="A108" s="24" t="s">
        <v>66</v>
      </c>
      <c r="B108" s="134">
        <v>4</v>
      </c>
      <c r="C108" s="317">
        <v>74169</v>
      </c>
      <c r="D108" s="7">
        <f>C108*$F$2</f>
        <v>0</v>
      </c>
      <c r="E108" s="7">
        <f t="shared" si="1"/>
        <v>0</v>
      </c>
      <c r="F108" s="8">
        <f t="shared" si="70"/>
        <v>74169</v>
      </c>
      <c r="G108" s="7">
        <f t="shared" si="18"/>
        <v>76394.070000000007</v>
      </c>
      <c r="H108" s="7">
        <f>G108*$F$2</f>
        <v>0</v>
      </c>
      <c r="I108" s="7">
        <f t="shared" si="4"/>
        <v>0</v>
      </c>
      <c r="J108" s="7">
        <f t="shared" si="71"/>
        <v>76394.070000000007</v>
      </c>
      <c r="K108" s="34">
        <f t="shared" si="19"/>
        <v>78685.892100000012</v>
      </c>
      <c r="L108" s="7">
        <f>K108*$F$2</f>
        <v>0</v>
      </c>
      <c r="M108" s="7">
        <f t="shared" si="7"/>
        <v>0</v>
      </c>
      <c r="N108" s="132">
        <f t="shared" si="72"/>
        <v>78685.892100000012</v>
      </c>
      <c r="O108" s="7">
        <f t="shared" si="20"/>
        <v>81046.468863000016</v>
      </c>
      <c r="P108" s="7">
        <f>O108*$F$2</f>
        <v>0</v>
      </c>
      <c r="Q108" s="7">
        <f t="shared" si="10"/>
        <v>0</v>
      </c>
      <c r="R108" s="7">
        <f t="shared" si="73"/>
        <v>81046.468863000016</v>
      </c>
      <c r="S108" s="34">
        <f t="shared" si="21"/>
        <v>83477.862928890012</v>
      </c>
      <c r="T108" s="7">
        <f>S108*$F$2</f>
        <v>0</v>
      </c>
      <c r="U108" s="7">
        <f t="shared" si="13"/>
        <v>0</v>
      </c>
      <c r="V108" s="132">
        <f t="shared" si="74"/>
        <v>83477.862928890012</v>
      </c>
      <c r="W108" s="7">
        <f t="shared" si="22"/>
        <v>85982.198816756718</v>
      </c>
      <c r="X108" s="7">
        <f>W108*$F$2</f>
        <v>0</v>
      </c>
      <c r="Y108" s="7">
        <f t="shared" si="16"/>
        <v>0</v>
      </c>
      <c r="Z108" s="8">
        <f t="shared" si="75"/>
        <v>85982.198816756718</v>
      </c>
    </row>
    <row r="109" spans="1:26" x14ac:dyDescent="0.25">
      <c r="A109" s="24" t="s">
        <v>67</v>
      </c>
      <c r="B109" s="134">
        <v>5</v>
      </c>
      <c r="C109" s="317">
        <v>78415</v>
      </c>
      <c r="D109" s="7">
        <f t="shared" ref="D109:D131" si="76">C109*$F$2</f>
        <v>0</v>
      </c>
      <c r="E109" s="7">
        <f t="shared" si="1"/>
        <v>0</v>
      </c>
      <c r="F109" s="8">
        <f t="shared" si="70"/>
        <v>78415</v>
      </c>
      <c r="G109" s="7">
        <f t="shared" si="18"/>
        <v>80767.45</v>
      </c>
      <c r="H109" s="7">
        <f t="shared" ref="H109:H131" si="77">G109*$F$2</f>
        <v>0</v>
      </c>
      <c r="I109" s="7">
        <f t="shared" si="4"/>
        <v>0</v>
      </c>
      <c r="J109" s="7">
        <f t="shared" si="71"/>
        <v>80767.45</v>
      </c>
      <c r="K109" s="34">
        <f t="shared" si="19"/>
        <v>83190.473499999993</v>
      </c>
      <c r="L109" s="7">
        <f t="shared" ref="L109:L131" si="78">K109*$F$2</f>
        <v>0</v>
      </c>
      <c r="M109" s="7">
        <f t="shared" si="7"/>
        <v>0</v>
      </c>
      <c r="N109" s="132">
        <f t="shared" si="72"/>
        <v>83190.473499999993</v>
      </c>
      <c r="O109" s="7">
        <f t="shared" si="20"/>
        <v>85686.187704999989</v>
      </c>
      <c r="P109" s="7">
        <f t="shared" ref="P109:P131" si="79">O109*$F$2</f>
        <v>0</v>
      </c>
      <c r="Q109" s="7">
        <f t="shared" si="10"/>
        <v>0</v>
      </c>
      <c r="R109" s="7">
        <f t="shared" si="73"/>
        <v>85686.187704999989</v>
      </c>
      <c r="S109" s="34">
        <f t="shared" si="21"/>
        <v>88256.773336149985</v>
      </c>
      <c r="T109" s="7">
        <f t="shared" ref="T109:T131" si="80">S109*$F$2</f>
        <v>0</v>
      </c>
      <c r="U109" s="7">
        <f t="shared" si="13"/>
        <v>0</v>
      </c>
      <c r="V109" s="132">
        <f t="shared" si="74"/>
        <v>88256.773336149985</v>
      </c>
      <c r="W109" s="7">
        <f t="shared" si="22"/>
        <v>90904.476536234492</v>
      </c>
      <c r="X109" s="7">
        <f t="shared" ref="X109:X131" si="81">W109*$F$2</f>
        <v>0</v>
      </c>
      <c r="Y109" s="7">
        <f t="shared" si="16"/>
        <v>0</v>
      </c>
      <c r="Z109" s="8">
        <f t="shared" si="75"/>
        <v>90904.476536234492</v>
      </c>
    </row>
    <row r="110" spans="1:26" x14ac:dyDescent="0.25">
      <c r="A110" s="24" t="s">
        <v>68</v>
      </c>
      <c r="B110" s="134">
        <v>6</v>
      </c>
      <c r="C110" s="317">
        <v>83878</v>
      </c>
      <c r="D110" s="7">
        <f t="shared" si="76"/>
        <v>0</v>
      </c>
      <c r="E110" s="7">
        <f t="shared" si="1"/>
        <v>0</v>
      </c>
      <c r="F110" s="8">
        <f t="shared" si="70"/>
        <v>83878</v>
      </c>
      <c r="G110" s="7">
        <f t="shared" si="18"/>
        <v>86394.34</v>
      </c>
      <c r="H110" s="7">
        <f t="shared" si="77"/>
        <v>0</v>
      </c>
      <c r="I110" s="7">
        <f t="shared" si="4"/>
        <v>0</v>
      </c>
      <c r="J110" s="7">
        <f t="shared" si="71"/>
        <v>86394.34</v>
      </c>
      <c r="K110" s="34">
        <f t="shared" si="19"/>
        <v>88986.170199999993</v>
      </c>
      <c r="L110" s="7">
        <f t="shared" si="78"/>
        <v>0</v>
      </c>
      <c r="M110" s="7">
        <f t="shared" si="7"/>
        <v>0</v>
      </c>
      <c r="N110" s="132">
        <f t="shared" si="72"/>
        <v>88986.170199999993</v>
      </c>
      <c r="O110" s="7">
        <f t="shared" si="20"/>
        <v>91655.755305999992</v>
      </c>
      <c r="P110" s="7">
        <f t="shared" si="79"/>
        <v>0</v>
      </c>
      <c r="Q110" s="7">
        <f t="shared" si="10"/>
        <v>0</v>
      </c>
      <c r="R110" s="7">
        <f t="shared" si="73"/>
        <v>91655.755305999992</v>
      </c>
      <c r="S110" s="34">
        <f t="shared" si="21"/>
        <v>94405.427965179988</v>
      </c>
      <c r="T110" s="7">
        <f t="shared" si="80"/>
        <v>0</v>
      </c>
      <c r="U110" s="7">
        <f t="shared" si="13"/>
        <v>0</v>
      </c>
      <c r="V110" s="132">
        <f t="shared" si="74"/>
        <v>94405.427965179988</v>
      </c>
      <c r="W110" s="7">
        <f t="shared" si="22"/>
        <v>97237.590804135383</v>
      </c>
      <c r="X110" s="7">
        <f t="shared" si="81"/>
        <v>0</v>
      </c>
      <c r="Y110" s="7">
        <f t="shared" si="16"/>
        <v>0</v>
      </c>
      <c r="Z110" s="8">
        <f t="shared" si="75"/>
        <v>97237.590804135383</v>
      </c>
    </row>
    <row r="111" spans="1:26" x14ac:dyDescent="0.25">
      <c r="A111" s="24" t="s">
        <v>69</v>
      </c>
      <c r="B111" s="134">
        <v>7</v>
      </c>
      <c r="C111" s="317">
        <v>89320</v>
      </c>
      <c r="D111" s="7">
        <f t="shared" si="76"/>
        <v>0</v>
      </c>
      <c r="E111" s="7">
        <f t="shared" si="1"/>
        <v>0</v>
      </c>
      <c r="F111" s="8">
        <f t="shared" si="70"/>
        <v>89320</v>
      </c>
      <c r="G111" s="7">
        <f t="shared" si="18"/>
        <v>91999.6</v>
      </c>
      <c r="H111" s="7">
        <f t="shared" si="77"/>
        <v>0</v>
      </c>
      <c r="I111" s="7">
        <f t="shared" si="4"/>
        <v>0</v>
      </c>
      <c r="J111" s="7">
        <f t="shared" si="71"/>
        <v>91999.6</v>
      </c>
      <c r="K111" s="34">
        <f t="shared" si="19"/>
        <v>94759.588000000003</v>
      </c>
      <c r="L111" s="7">
        <f t="shared" si="78"/>
        <v>0</v>
      </c>
      <c r="M111" s="7">
        <f t="shared" si="7"/>
        <v>0</v>
      </c>
      <c r="N111" s="132">
        <f t="shared" si="72"/>
        <v>94759.588000000003</v>
      </c>
      <c r="O111" s="7">
        <f t="shared" si="20"/>
        <v>97602.375640000013</v>
      </c>
      <c r="P111" s="7">
        <f t="shared" si="79"/>
        <v>0</v>
      </c>
      <c r="Q111" s="7">
        <f t="shared" si="10"/>
        <v>0</v>
      </c>
      <c r="R111" s="7">
        <f t="shared" si="73"/>
        <v>97602.375640000013</v>
      </c>
      <c r="S111" s="34">
        <f t="shared" si="21"/>
        <v>100530.44690920002</v>
      </c>
      <c r="T111" s="7">
        <f t="shared" si="80"/>
        <v>0</v>
      </c>
      <c r="U111" s="7">
        <f t="shared" si="13"/>
        <v>0</v>
      </c>
      <c r="V111" s="132">
        <f t="shared" si="74"/>
        <v>100530.44690920002</v>
      </c>
      <c r="W111" s="7">
        <f t="shared" si="22"/>
        <v>103546.36031647603</v>
      </c>
      <c r="X111" s="7">
        <f t="shared" si="81"/>
        <v>0</v>
      </c>
      <c r="Y111" s="7">
        <f t="shared" si="16"/>
        <v>0</v>
      </c>
      <c r="Z111" s="8">
        <f t="shared" si="75"/>
        <v>103546.36031647603</v>
      </c>
    </row>
    <row r="112" spans="1:26" x14ac:dyDescent="0.25">
      <c r="A112" s="119" t="s">
        <v>266</v>
      </c>
      <c r="B112" s="134"/>
      <c r="C112" s="34">
        <v>0</v>
      </c>
      <c r="D112" s="7"/>
      <c r="E112" s="7"/>
      <c r="F112" s="8"/>
      <c r="G112" s="7"/>
      <c r="H112" s="7"/>
      <c r="I112" s="7"/>
      <c r="J112" s="7">
        <f>$J$111</f>
        <v>91999.6</v>
      </c>
      <c r="K112" s="34">
        <v>87148.974206250015</v>
      </c>
      <c r="L112" s="7">
        <v>9629.9616497906263</v>
      </c>
      <c r="M112" s="7">
        <v>8714.8974206250023</v>
      </c>
      <c r="N112" s="132">
        <f>$N$111</f>
        <v>94759.588000000003</v>
      </c>
      <c r="O112" s="7">
        <v>88674.081254859397</v>
      </c>
      <c r="P112" s="7">
        <v>9798.4859786619636</v>
      </c>
      <c r="Q112" s="7">
        <v>8867.4081254859393</v>
      </c>
      <c r="R112" s="7">
        <f>$R$111</f>
        <v>97602.375640000013</v>
      </c>
      <c r="S112" s="34">
        <v>90225.877676819437</v>
      </c>
      <c r="T112" s="7">
        <v>9969.9594832885487</v>
      </c>
      <c r="U112" s="7">
        <v>9022.5877676819437</v>
      </c>
      <c r="V112" s="132">
        <f>$V$111</f>
        <v>100530.44690920002</v>
      </c>
      <c r="W112" s="7">
        <v>91804.83053616379</v>
      </c>
      <c r="X112" s="7">
        <v>10144.433774246099</v>
      </c>
      <c r="Y112" s="7">
        <v>9180.483053616379</v>
      </c>
      <c r="Z112" s="8">
        <f>$Z$111</f>
        <v>103546.36031647603</v>
      </c>
    </row>
    <row r="113" spans="1:26" x14ac:dyDescent="0.25">
      <c r="A113" s="119" t="s">
        <v>266</v>
      </c>
      <c r="B113" s="134"/>
      <c r="C113" s="34">
        <v>0</v>
      </c>
      <c r="D113" s="7"/>
      <c r="E113" s="7"/>
      <c r="F113" s="8"/>
      <c r="G113" s="7"/>
      <c r="H113" s="7"/>
      <c r="I113" s="7"/>
      <c r="J113" s="7">
        <f t="shared" ref="J113:J118" si="82">$J$111</f>
        <v>91999.6</v>
      </c>
      <c r="K113" s="34">
        <v>87148.974206250015</v>
      </c>
      <c r="L113" s="7">
        <v>9629.9616497906263</v>
      </c>
      <c r="M113" s="7">
        <v>8714.8974206250023</v>
      </c>
      <c r="N113" s="132">
        <f t="shared" ref="N113:N118" si="83">$N$111</f>
        <v>94759.588000000003</v>
      </c>
      <c r="O113" s="7">
        <v>88674.081254859397</v>
      </c>
      <c r="P113" s="7">
        <v>9798.4859786619636</v>
      </c>
      <c r="Q113" s="7">
        <v>8867.4081254859393</v>
      </c>
      <c r="R113" s="7">
        <f t="shared" ref="R113:R118" si="84">$R$111</f>
        <v>97602.375640000013</v>
      </c>
      <c r="S113" s="34">
        <v>90225.877676819437</v>
      </c>
      <c r="T113" s="7">
        <v>9969.9594832885487</v>
      </c>
      <c r="U113" s="7">
        <v>9022.5877676819437</v>
      </c>
      <c r="V113" s="132">
        <f t="shared" ref="V113:V118" si="85">$V$111</f>
        <v>100530.44690920002</v>
      </c>
      <c r="W113" s="7">
        <v>91804.83053616379</v>
      </c>
      <c r="X113" s="7">
        <v>10144.433774246099</v>
      </c>
      <c r="Y113" s="7">
        <v>9180.483053616379</v>
      </c>
      <c r="Z113" s="8">
        <f t="shared" ref="Z113:Z118" si="86">$Z$111</f>
        <v>103546.36031647603</v>
      </c>
    </row>
    <row r="114" spans="1:26" x14ac:dyDescent="0.25">
      <c r="A114" s="119" t="s">
        <v>266</v>
      </c>
      <c r="B114" s="134"/>
      <c r="C114" s="34">
        <v>0</v>
      </c>
      <c r="D114" s="7"/>
      <c r="E114" s="7"/>
      <c r="F114" s="8"/>
      <c r="G114" s="7"/>
      <c r="H114" s="7"/>
      <c r="I114" s="7"/>
      <c r="J114" s="7">
        <f t="shared" si="82"/>
        <v>91999.6</v>
      </c>
      <c r="K114" s="34">
        <v>87148.974206250015</v>
      </c>
      <c r="L114" s="7">
        <v>9629.9616497906263</v>
      </c>
      <c r="M114" s="7">
        <v>8714.8974206250023</v>
      </c>
      <c r="N114" s="132">
        <f t="shared" si="83"/>
        <v>94759.588000000003</v>
      </c>
      <c r="O114" s="7">
        <v>88674.081254859397</v>
      </c>
      <c r="P114" s="7">
        <v>9798.4859786619636</v>
      </c>
      <c r="Q114" s="7">
        <v>8867.4081254859393</v>
      </c>
      <c r="R114" s="7">
        <f t="shared" si="84"/>
        <v>97602.375640000013</v>
      </c>
      <c r="S114" s="34">
        <v>90225.877676819437</v>
      </c>
      <c r="T114" s="7">
        <v>9969.9594832885487</v>
      </c>
      <c r="U114" s="7">
        <v>9022.5877676819437</v>
      </c>
      <c r="V114" s="132">
        <f t="shared" si="85"/>
        <v>100530.44690920002</v>
      </c>
      <c r="W114" s="7">
        <v>91804.83053616379</v>
      </c>
      <c r="X114" s="7">
        <v>10144.433774246099</v>
      </c>
      <c r="Y114" s="7">
        <v>9180.483053616379</v>
      </c>
      <c r="Z114" s="8">
        <f t="shared" si="86"/>
        <v>103546.36031647603</v>
      </c>
    </row>
    <row r="115" spans="1:26" x14ac:dyDescent="0.25">
      <c r="A115" s="119" t="s">
        <v>266</v>
      </c>
      <c r="B115" s="134"/>
      <c r="C115" s="34">
        <v>0</v>
      </c>
      <c r="D115" s="7"/>
      <c r="E115" s="7"/>
      <c r="F115" s="8"/>
      <c r="G115" s="7"/>
      <c r="H115" s="7"/>
      <c r="I115" s="7"/>
      <c r="J115" s="7">
        <f t="shared" si="82"/>
        <v>91999.6</v>
      </c>
      <c r="K115" s="34">
        <v>87148.974206250015</v>
      </c>
      <c r="L115" s="7">
        <v>9629.9616497906263</v>
      </c>
      <c r="M115" s="7">
        <v>8714.8974206250023</v>
      </c>
      <c r="N115" s="132">
        <f t="shared" si="83"/>
        <v>94759.588000000003</v>
      </c>
      <c r="O115" s="7">
        <v>88674.081254859397</v>
      </c>
      <c r="P115" s="7">
        <v>9798.4859786619636</v>
      </c>
      <c r="Q115" s="7">
        <v>8867.4081254859393</v>
      </c>
      <c r="R115" s="7">
        <f t="shared" si="84"/>
        <v>97602.375640000013</v>
      </c>
      <c r="S115" s="34">
        <v>90225.877676819437</v>
      </c>
      <c r="T115" s="7">
        <v>9969.9594832885487</v>
      </c>
      <c r="U115" s="7">
        <v>9022.5877676819437</v>
      </c>
      <c r="V115" s="132">
        <f t="shared" si="85"/>
        <v>100530.44690920002</v>
      </c>
      <c r="W115" s="7">
        <v>91804.83053616379</v>
      </c>
      <c r="X115" s="7">
        <v>10144.433774246099</v>
      </c>
      <c r="Y115" s="7">
        <v>9180.483053616379</v>
      </c>
      <c r="Z115" s="8">
        <f t="shared" si="86"/>
        <v>103546.36031647603</v>
      </c>
    </row>
    <row r="116" spans="1:26" x14ac:dyDescent="0.25">
      <c r="A116" s="119" t="s">
        <v>266</v>
      </c>
      <c r="B116" s="134"/>
      <c r="C116" s="34">
        <v>0</v>
      </c>
      <c r="D116" s="7"/>
      <c r="E116" s="7"/>
      <c r="F116" s="8"/>
      <c r="G116" s="7"/>
      <c r="H116" s="7"/>
      <c r="I116" s="7"/>
      <c r="J116" s="7">
        <f t="shared" si="82"/>
        <v>91999.6</v>
      </c>
      <c r="K116" s="34">
        <v>87148.974206250015</v>
      </c>
      <c r="L116" s="7">
        <v>9629.9616497906263</v>
      </c>
      <c r="M116" s="7">
        <v>8714.8974206250023</v>
      </c>
      <c r="N116" s="132">
        <f t="shared" si="83"/>
        <v>94759.588000000003</v>
      </c>
      <c r="O116" s="7">
        <v>88674.081254859397</v>
      </c>
      <c r="P116" s="7">
        <v>9798.4859786619636</v>
      </c>
      <c r="Q116" s="7">
        <v>8867.4081254859393</v>
      </c>
      <c r="R116" s="7">
        <f t="shared" si="84"/>
        <v>97602.375640000013</v>
      </c>
      <c r="S116" s="34">
        <v>90225.877676819437</v>
      </c>
      <c r="T116" s="7">
        <v>9969.9594832885487</v>
      </c>
      <c r="U116" s="7">
        <v>9022.5877676819437</v>
      </c>
      <c r="V116" s="132">
        <f t="shared" si="85"/>
        <v>100530.44690920002</v>
      </c>
      <c r="W116" s="7">
        <v>91804.83053616379</v>
      </c>
      <c r="X116" s="7">
        <v>10144.433774246099</v>
      </c>
      <c r="Y116" s="7">
        <v>9180.483053616379</v>
      </c>
      <c r="Z116" s="8">
        <f t="shared" si="86"/>
        <v>103546.36031647603</v>
      </c>
    </row>
    <row r="117" spans="1:26" x14ac:dyDescent="0.25">
      <c r="A117" s="119" t="s">
        <v>266</v>
      </c>
      <c r="B117" s="134"/>
      <c r="C117" s="34">
        <v>0</v>
      </c>
      <c r="D117" s="7"/>
      <c r="E117" s="7"/>
      <c r="F117" s="8"/>
      <c r="G117" s="7"/>
      <c r="H117" s="7"/>
      <c r="I117" s="7"/>
      <c r="J117" s="7">
        <f t="shared" si="82"/>
        <v>91999.6</v>
      </c>
      <c r="K117" s="34">
        <v>87148.974206250015</v>
      </c>
      <c r="L117" s="7">
        <v>9629.9616497906263</v>
      </c>
      <c r="M117" s="7">
        <v>8714.8974206250023</v>
      </c>
      <c r="N117" s="132">
        <f t="shared" si="83"/>
        <v>94759.588000000003</v>
      </c>
      <c r="O117" s="7">
        <v>88674.081254859397</v>
      </c>
      <c r="P117" s="7">
        <v>9798.4859786619636</v>
      </c>
      <c r="Q117" s="7">
        <v>8867.4081254859393</v>
      </c>
      <c r="R117" s="7">
        <f t="shared" si="84"/>
        <v>97602.375640000013</v>
      </c>
      <c r="S117" s="34">
        <v>90225.877676819437</v>
      </c>
      <c r="T117" s="7">
        <v>9969.9594832885487</v>
      </c>
      <c r="U117" s="7">
        <v>9022.5877676819437</v>
      </c>
      <c r="V117" s="132">
        <f t="shared" si="85"/>
        <v>100530.44690920002</v>
      </c>
      <c r="W117" s="7">
        <v>91804.83053616379</v>
      </c>
      <c r="X117" s="7">
        <v>10144.433774246099</v>
      </c>
      <c r="Y117" s="7">
        <v>9180.483053616379</v>
      </c>
      <c r="Z117" s="8">
        <f t="shared" si="86"/>
        <v>103546.36031647603</v>
      </c>
    </row>
    <row r="118" spans="1:26" ht="15.75" thickBot="1" x14ac:dyDescent="0.3">
      <c r="A118" s="119" t="s">
        <v>266</v>
      </c>
      <c r="B118" s="134"/>
      <c r="C118" s="34">
        <v>0</v>
      </c>
      <c r="D118" s="7"/>
      <c r="E118" s="7"/>
      <c r="F118" s="8"/>
      <c r="G118" s="7"/>
      <c r="H118" s="7"/>
      <c r="I118" s="7"/>
      <c r="J118" s="7">
        <f t="shared" si="82"/>
        <v>91999.6</v>
      </c>
      <c r="K118" s="34">
        <v>87148.974206250015</v>
      </c>
      <c r="L118" s="7">
        <v>9629.9616497906263</v>
      </c>
      <c r="M118" s="7">
        <v>8714.8974206250023</v>
      </c>
      <c r="N118" s="132">
        <f t="shared" si="83"/>
        <v>94759.588000000003</v>
      </c>
      <c r="O118" s="7">
        <v>88674.081254859397</v>
      </c>
      <c r="P118" s="7">
        <v>9798.4859786619636</v>
      </c>
      <c r="Q118" s="7">
        <v>8867.4081254859393</v>
      </c>
      <c r="R118" s="7">
        <f t="shared" si="84"/>
        <v>97602.375640000013</v>
      </c>
      <c r="S118" s="34">
        <v>90225.877676819437</v>
      </c>
      <c r="T118" s="7">
        <v>9969.9594832885487</v>
      </c>
      <c r="U118" s="7">
        <v>9022.5877676819437</v>
      </c>
      <c r="V118" s="132">
        <f t="shared" si="85"/>
        <v>100530.44690920002</v>
      </c>
      <c r="W118" s="7">
        <v>91804.83053616379</v>
      </c>
      <c r="X118" s="7">
        <v>10144.433774246099</v>
      </c>
      <c r="Y118" s="7">
        <v>9180.483053616379</v>
      </c>
      <c r="Z118" s="8">
        <f t="shared" si="86"/>
        <v>103546.36031647603</v>
      </c>
    </row>
    <row r="119" spans="1:26" x14ac:dyDescent="0.25">
      <c r="A119" s="26" t="s">
        <v>70</v>
      </c>
      <c r="B119" s="133">
        <v>1</v>
      </c>
      <c r="C119" s="316">
        <v>37909</v>
      </c>
      <c r="D119" s="28">
        <f t="shared" si="76"/>
        <v>0</v>
      </c>
      <c r="E119" s="28">
        <f t="shared" si="1"/>
        <v>0</v>
      </c>
      <c r="F119" s="29">
        <f>SUM(C119:E119)</f>
        <v>37909</v>
      </c>
      <c r="G119" s="28">
        <f t="shared" si="18"/>
        <v>39046.270000000004</v>
      </c>
      <c r="H119" s="28">
        <f t="shared" si="77"/>
        <v>0</v>
      </c>
      <c r="I119" s="28">
        <f t="shared" si="4"/>
        <v>0</v>
      </c>
      <c r="J119" s="28">
        <f>SUM(G119:I119)</f>
        <v>39046.270000000004</v>
      </c>
      <c r="K119" s="37">
        <f t="shared" si="19"/>
        <v>40217.658100000008</v>
      </c>
      <c r="L119" s="28">
        <f t="shared" si="78"/>
        <v>0</v>
      </c>
      <c r="M119" s="28">
        <f t="shared" si="7"/>
        <v>0</v>
      </c>
      <c r="N119" s="131">
        <f>SUM(K119:M119)</f>
        <v>40217.658100000008</v>
      </c>
      <c r="O119" s="28">
        <f t="shared" si="20"/>
        <v>41424.187843000007</v>
      </c>
      <c r="P119" s="28">
        <f t="shared" si="79"/>
        <v>0</v>
      </c>
      <c r="Q119" s="28">
        <f t="shared" si="10"/>
        <v>0</v>
      </c>
      <c r="R119" s="28">
        <f>SUM(O119:Q119)</f>
        <v>41424.187843000007</v>
      </c>
      <c r="S119" s="37">
        <f t="shared" si="21"/>
        <v>42666.913478290007</v>
      </c>
      <c r="T119" s="28">
        <f t="shared" si="80"/>
        <v>0</v>
      </c>
      <c r="U119" s="28">
        <f t="shared" si="13"/>
        <v>0</v>
      </c>
      <c r="V119" s="131">
        <f>SUM(S119:U119)</f>
        <v>42666.913478290007</v>
      </c>
      <c r="W119" s="28">
        <f t="shared" si="22"/>
        <v>43946.920882638711</v>
      </c>
      <c r="X119" s="28">
        <f t="shared" si="81"/>
        <v>0</v>
      </c>
      <c r="Y119" s="28">
        <f t="shared" si="16"/>
        <v>0</v>
      </c>
      <c r="Z119" s="29">
        <f>SUM(W119:Y119)</f>
        <v>43946.920882638711</v>
      </c>
    </row>
    <row r="120" spans="1:26" x14ac:dyDescent="0.25">
      <c r="A120" s="24" t="s">
        <v>71</v>
      </c>
      <c r="B120" s="134">
        <v>2</v>
      </c>
      <c r="C120" s="317">
        <v>40059</v>
      </c>
      <c r="D120" s="7">
        <f t="shared" si="76"/>
        <v>0</v>
      </c>
      <c r="E120" s="7">
        <f t="shared" si="1"/>
        <v>0</v>
      </c>
      <c r="F120" s="8">
        <f t="shared" ref="F120:F132" si="87">SUM(C120:E120)</f>
        <v>40059</v>
      </c>
      <c r="G120" s="7">
        <f t="shared" si="18"/>
        <v>41260.770000000004</v>
      </c>
      <c r="H120" s="7">
        <f t="shared" si="77"/>
        <v>0</v>
      </c>
      <c r="I120" s="7">
        <f t="shared" si="4"/>
        <v>0</v>
      </c>
      <c r="J120" s="7">
        <f t="shared" ref="J120:J132" si="88">SUM(G120:I120)</f>
        <v>41260.770000000004</v>
      </c>
      <c r="K120" s="34">
        <f t="shared" si="19"/>
        <v>42498.593100000006</v>
      </c>
      <c r="L120" s="7">
        <f t="shared" si="78"/>
        <v>0</v>
      </c>
      <c r="M120" s="7">
        <f t="shared" si="7"/>
        <v>0</v>
      </c>
      <c r="N120" s="132">
        <f t="shared" ref="N120:N132" si="89">SUM(K120:M120)</f>
        <v>42498.593100000006</v>
      </c>
      <c r="O120" s="7">
        <f t="shared" si="20"/>
        <v>43773.550893000007</v>
      </c>
      <c r="P120" s="7">
        <f t="shared" si="79"/>
        <v>0</v>
      </c>
      <c r="Q120" s="7">
        <f t="shared" si="10"/>
        <v>0</v>
      </c>
      <c r="R120" s="7">
        <f t="shared" ref="R120:R132" si="90">SUM(O120:Q120)</f>
        <v>43773.550893000007</v>
      </c>
      <c r="S120" s="34">
        <f t="shared" si="21"/>
        <v>45086.75741979001</v>
      </c>
      <c r="T120" s="7">
        <f t="shared" si="80"/>
        <v>0</v>
      </c>
      <c r="U120" s="7">
        <f t="shared" si="13"/>
        <v>0</v>
      </c>
      <c r="V120" s="132">
        <f t="shared" ref="V120:V132" si="91">SUM(S120:U120)</f>
        <v>45086.75741979001</v>
      </c>
      <c r="W120" s="7">
        <f t="shared" si="22"/>
        <v>46439.36014238371</v>
      </c>
      <c r="X120" s="7">
        <f t="shared" si="81"/>
        <v>0</v>
      </c>
      <c r="Y120" s="7">
        <f t="shared" si="16"/>
        <v>0</v>
      </c>
      <c r="Z120" s="8">
        <f t="shared" ref="Z120:Z132" si="92">SUM(W120:Y120)</f>
        <v>46439.36014238371</v>
      </c>
    </row>
    <row r="121" spans="1:26" x14ac:dyDescent="0.25">
      <c r="A121" s="24" t="s">
        <v>72</v>
      </c>
      <c r="B121" s="134">
        <v>3</v>
      </c>
      <c r="C121" s="317">
        <v>41882</v>
      </c>
      <c r="D121" s="7">
        <f t="shared" si="76"/>
        <v>0</v>
      </c>
      <c r="E121" s="7">
        <f t="shared" si="1"/>
        <v>0</v>
      </c>
      <c r="F121" s="8">
        <f t="shared" si="87"/>
        <v>41882</v>
      </c>
      <c r="G121" s="7">
        <f t="shared" si="18"/>
        <v>43138.46</v>
      </c>
      <c r="H121" s="7">
        <f t="shared" si="77"/>
        <v>0</v>
      </c>
      <c r="I121" s="7">
        <f t="shared" si="4"/>
        <v>0</v>
      </c>
      <c r="J121" s="7">
        <f t="shared" si="88"/>
        <v>43138.46</v>
      </c>
      <c r="K121" s="34">
        <f t="shared" si="19"/>
        <v>44432.613799999999</v>
      </c>
      <c r="L121" s="7">
        <f t="shared" si="78"/>
        <v>0</v>
      </c>
      <c r="M121" s="7">
        <f t="shared" si="7"/>
        <v>0</v>
      </c>
      <c r="N121" s="132">
        <f t="shared" si="89"/>
        <v>44432.613799999999</v>
      </c>
      <c r="O121" s="7">
        <f t="shared" si="20"/>
        <v>45765.592214000004</v>
      </c>
      <c r="P121" s="7">
        <f t="shared" si="79"/>
        <v>0</v>
      </c>
      <c r="Q121" s="7">
        <f t="shared" si="10"/>
        <v>0</v>
      </c>
      <c r="R121" s="7">
        <f t="shared" si="90"/>
        <v>45765.592214000004</v>
      </c>
      <c r="S121" s="34">
        <f t="shared" si="21"/>
        <v>47138.559980420003</v>
      </c>
      <c r="T121" s="7">
        <f t="shared" si="80"/>
        <v>0</v>
      </c>
      <c r="U121" s="7">
        <f t="shared" si="13"/>
        <v>0</v>
      </c>
      <c r="V121" s="132">
        <f t="shared" si="91"/>
        <v>47138.559980420003</v>
      </c>
      <c r="W121" s="7">
        <f t="shared" si="22"/>
        <v>48552.716779832605</v>
      </c>
      <c r="X121" s="7">
        <f t="shared" si="81"/>
        <v>0</v>
      </c>
      <c r="Y121" s="7">
        <f t="shared" si="16"/>
        <v>0</v>
      </c>
      <c r="Z121" s="8">
        <f t="shared" si="92"/>
        <v>48552.716779832605</v>
      </c>
    </row>
    <row r="122" spans="1:26" x14ac:dyDescent="0.25">
      <c r="A122" s="24" t="s">
        <v>73</v>
      </c>
      <c r="B122" s="134">
        <v>4</v>
      </c>
      <c r="C122" s="317">
        <v>44271</v>
      </c>
      <c r="D122" s="7">
        <f t="shared" si="76"/>
        <v>0</v>
      </c>
      <c r="E122" s="7">
        <f t="shared" si="1"/>
        <v>0</v>
      </c>
      <c r="F122" s="8">
        <f t="shared" si="87"/>
        <v>44271</v>
      </c>
      <c r="G122" s="7">
        <f t="shared" si="18"/>
        <v>45599.130000000005</v>
      </c>
      <c r="H122" s="7">
        <f t="shared" si="77"/>
        <v>0</v>
      </c>
      <c r="I122" s="7">
        <f t="shared" si="4"/>
        <v>0</v>
      </c>
      <c r="J122" s="7">
        <f t="shared" si="88"/>
        <v>45599.130000000005</v>
      </c>
      <c r="K122" s="34">
        <f t="shared" si="19"/>
        <v>46967.103900000009</v>
      </c>
      <c r="L122" s="7">
        <f t="shared" si="78"/>
        <v>0</v>
      </c>
      <c r="M122" s="7">
        <f t="shared" si="7"/>
        <v>0</v>
      </c>
      <c r="N122" s="132">
        <f t="shared" si="89"/>
        <v>46967.103900000009</v>
      </c>
      <c r="O122" s="7">
        <f t="shared" si="20"/>
        <v>48376.117017000011</v>
      </c>
      <c r="P122" s="7">
        <f t="shared" si="79"/>
        <v>0</v>
      </c>
      <c r="Q122" s="7">
        <f t="shared" si="10"/>
        <v>0</v>
      </c>
      <c r="R122" s="7">
        <f t="shared" si="90"/>
        <v>48376.117017000011</v>
      </c>
      <c r="S122" s="34">
        <f t="shared" si="21"/>
        <v>49827.400527510013</v>
      </c>
      <c r="T122" s="7">
        <f t="shared" si="80"/>
        <v>0</v>
      </c>
      <c r="U122" s="7">
        <f t="shared" si="13"/>
        <v>0</v>
      </c>
      <c r="V122" s="132">
        <f t="shared" si="91"/>
        <v>49827.400527510013</v>
      </c>
      <c r="W122" s="7">
        <f t="shared" si="22"/>
        <v>51322.222543335316</v>
      </c>
      <c r="X122" s="7">
        <f t="shared" si="81"/>
        <v>0</v>
      </c>
      <c r="Y122" s="7">
        <f t="shared" si="16"/>
        <v>0</v>
      </c>
      <c r="Z122" s="8">
        <f t="shared" si="92"/>
        <v>51322.222543335316</v>
      </c>
    </row>
    <row r="123" spans="1:26" x14ac:dyDescent="0.25">
      <c r="A123" s="24" t="s">
        <v>74</v>
      </c>
      <c r="B123" s="134">
        <v>5</v>
      </c>
      <c r="C123" s="317">
        <v>46715</v>
      </c>
      <c r="D123" s="7">
        <f t="shared" si="76"/>
        <v>0</v>
      </c>
      <c r="E123" s="7">
        <f t="shared" si="1"/>
        <v>0</v>
      </c>
      <c r="F123" s="8">
        <f t="shared" si="87"/>
        <v>46715</v>
      </c>
      <c r="G123" s="7">
        <f t="shared" si="18"/>
        <v>48116.450000000004</v>
      </c>
      <c r="H123" s="7">
        <f t="shared" si="77"/>
        <v>0</v>
      </c>
      <c r="I123" s="7">
        <f t="shared" si="4"/>
        <v>0</v>
      </c>
      <c r="J123" s="7">
        <f t="shared" si="88"/>
        <v>48116.450000000004</v>
      </c>
      <c r="K123" s="34">
        <f t="shared" si="19"/>
        <v>49559.943500000008</v>
      </c>
      <c r="L123" s="7">
        <f t="shared" si="78"/>
        <v>0</v>
      </c>
      <c r="M123" s="7">
        <f t="shared" si="7"/>
        <v>0</v>
      </c>
      <c r="N123" s="132">
        <f t="shared" si="89"/>
        <v>49559.943500000008</v>
      </c>
      <c r="O123" s="7">
        <f t="shared" si="20"/>
        <v>51046.741805000012</v>
      </c>
      <c r="P123" s="7">
        <f t="shared" si="79"/>
        <v>0</v>
      </c>
      <c r="Q123" s="7">
        <f t="shared" si="10"/>
        <v>0</v>
      </c>
      <c r="R123" s="7">
        <f t="shared" si="90"/>
        <v>51046.741805000012</v>
      </c>
      <c r="S123" s="34">
        <f t="shared" si="21"/>
        <v>52578.144059150014</v>
      </c>
      <c r="T123" s="7">
        <f t="shared" si="80"/>
        <v>0</v>
      </c>
      <c r="U123" s="7">
        <f t="shared" si="13"/>
        <v>0</v>
      </c>
      <c r="V123" s="132">
        <f t="shared" si="91"/>
        <v>52578.144059150014</v>
      </c>
      <c r="W123" s="7">
        <f t="shared" si="22"/>
        <v>54155.488380924515</v>
      </c>
      <c r="X123" s="7">
        <f t="shared" si="81"/>
        <v>0</v>
      </c>
      <c r="Y123" s="7">
        <f t="shared" si="16"/>
        <v>0</v>
      </c>
      <c r="Z123" s="8">
        <f t="shared" si="92"/>
        <v>54155.488380924515</v>
      </c>
    </row>
    <row r="124" spans="1:26" x14ac:dyDescent="0.25">
      <c r="A124" s="24" t="s">
        <v>75</v>
      </c>
      <c r="B124" s="134">
        <v>6</v>
      </c>
      <c r="C124" s="317">
        <v>48792</v>
      </c>
      <c r="D124" s="7">
        <f t="shared" si="76"/>
        <v>0</v>
      </c>
      <c r="E124" s="7">
        <f t="shared" si="1"/>
        <v>0</v>
      </c>
      <c r="F124" s="8">
        <f t="shared" si="87"/>
        <v>48792</v>
      </c>
      <c r="G124" s="7">
        <f t="shared" si="18"/>
        <v>50255.76</v>
      </c>
      <c r="H124" s="7">
        <f t="shared" si="77"/>
        <v>0</v>
      </c>
      <c r="I124" s="7">
        <f t="shared" si="4"/>
        <v>0</v>
      </c>
      <c r="J124" s="7">
        <f t="shared" si="88"/>
        <v>50255.76</v>
      </c>
      <c r="K124" s="34">
        <f t="shared" si="19"/>
        <v>51763.432800000002</v>
      </c>
      <c r="L124" s="7">
        <f t="shared" si="78"/>
        <v>0</v>
      </c>
      <c r="M124" s="7">
        <f t="shared" si="7"/>
        <v>0</v>
      </c>
      <c r="N124" s="132">
        <f t="shared" si="89"/>
        <v>51763.432800000002</v>
      </c>
      <c r="O124" s="7">
        <f t="shared" si="20"/>
        <v>53316.335784000003</v>
      </c>
      <c r="P124" s="7">
        <f t="shared" si="79"/>
        <v>0</v>
      </c>
      <c r="Q124" s="7">
        <f t="shared" si="10"/>
        <v>0</v>
      </c>
      <c r="R124" s="7">
        <f t="shared" si="90"/>
        <v>53316.335784000003</v>
      </c>
      <c r="S124" s="34">
        <f t="shared" si="21"/>
        <v>54915.825857520002</v>
      </c>
      <c r="T124" s="7">
        <f t="shared" si="80"/>
        <v>0</v>
      </c>
      <c r="U124" s="7">
        <f t="shared" si="13"/>
        <v>0</v>
      </c>
      <c r="V124" s="132">
        <f t="shared" si="91"/>
        <v>54915.825857520002</v>
      </c>
      <c r="W124" s="7">
        <f t="shared" si="22"/>
        <v>56563.300633245606</v>
      </c>
      <c r="X124" s="7">
        <f t="shared" si="81"/>
        <v>0</v>
      </c>
      <c r="Y124" s="7">
        <f t="shared" si="16"/>
        <v>0</v>
      </c>
      <c r="Z124" s="8">
        <f t="shared" si="92"/>
        <v>56563.300633245606</v>
      </c>
    </row>
    <row r="125" spans="1:26" x14ac:dyDescent="0.25">
      <c r="A125" s="24" t="s">
        <v>76</v>
      </c>
      <c r="B125" s="134">
        <v>7</v>
      </c>
      <c r="C125" s="317">
        <v>50841</v>
      </c>
      <c r="D125" s="7">
        <f t="shared" si="76"/>
        <v>0</v>
      </c>
      <c r="E125" s="7">
        <f t="shared" si="1"/>
        <v>0</v>
      </c>
      <c r="F125" s="8">
        <f t="shared" si="87"/>
        <v>50841</v>
      </c>
      <c r="G125" s="7">
        <f t="shared" si="18"/>
        <v>52366.23</v>
      </c>
      <c r="H125" s="7">
        <f t="shared" si="77"/>
        <v>0</v>
      </c>
      <c r="I125" s="7">
        <f t="shared" si="4"/>
        <v>0</v>
      </c>
      <c r="J125" s="7">
        <f t="shared" si="88"/>
        <v>52366.23</v>
      </c>
      <c r="K125" s="34">
        <f t="shared" si="19"/>
        <v>53937.216900000007</v>
      </c>
      <c r="L125" s="7">
        <f t="shared" si="78"/>
        <v>0</v>
      </c>
      <c r="M125" s="7">
        <f t="shared" si="7"/>
        <v>0</v>
      </c>
      <c r="N125" s="132">
        <f t="shared" si="89"/>
        <v>53937.216900000007</v>
      </c>
      <c r="O125" s="7">
        <f t="shared" si="20"/>
        <v>55555.333407000006</v>
      </c>
      <c r="P125" s="7">
        <f t="shared" si="79"/>
        <v>0</v>
      </c>
      <c r="Q125" s="7">
        <f t="shared" si="10"/>
        <v>0</v>
      </c>
      <c r="R125" s="7">
        <f t="shared" si="90"/>
        <v>55555.333407000006</v>
      </c>
      <c r="S125" s="34">
        <f t="shared" si="21"/>
        <v>57221.993409210008</v>
      </c>
      <c r="T125" s="7">
        <f t="shared" si="80"/>
        <v>0</v>
      </c>
      <c r="U125" s="7">
        <f t="shared" si="13"/>
        <v>0</v>
      </c>
      <c r="V125" s="132">
        <f t="shared" si="91"/>
        <v>57221.993409210008</v>
      </c>
      <c r="W125" s="7">
        <f t="shared" si="22"/>
        <v>58938.653211486308</v>
      </c>
      <c r="X125" s="7">
        <f t="shared" si="81"/>
        <v>0</v>
      </c>
      <c r="Y125" s="7">
        <f t="shared" si="16"/>
        <v>0</v>
      </c>
      <c r="Z125" s="8">
        <f t="shared" si="92"/>
        <v>58938.653211486308</v>
      </c>
    </row>
    <row r="126" spans="1:26" x14ac:dyDescent="0.25">
      <c r="A126" s="24" t="s">
        <v>77</v>
      </c>
      <c r="B126" s="134">
        <v>8</v>
      </c>
      <c r="C126" s="317">
        <v>52919</v>
      </c>
      <c r="D126" s="7">
        <f t="shared" si="76"/>
        <v>0</v>
      </c>
      <c r="E126" s="7">
        <f t="shared" si="1"/>
        <v>0</v>
      </c>
      <c r="F126" s="8">
        <f t="shared" si="87"/>
        <v>52919</v>
      </c>
      <c r="G126" s="7">
        <f t="shared" si="18"/>
        <v>54506.57</v>
      </c>
      <c r="H126" s="7">
        <f t="shared" si="77"/>
        <v>0</v>
      </c>
      <c r="I126" s="7">
        <f t="shared" si="4"/>
        <v>0</v>
      </c>
      <c r="J126" s="7">
        <f t="shared" si="88"/>
        <v>54506.57</v>
      </c>
      <c r="K126" s="34">
        <f t="shared" si="19"/>
        <v>56141.767100000005</v>
      </c>
      <c r="L126" s="7">
        <f t="shared" si="78"/>
        <v>0</v>
      </c>
      <c r="M126" s="7">
        <f t="shared" si="7"/>
        <v>0</v>
      </c>
      <c r="N126" s="132">
        <f t="shared" si="89"/>
        <v>56141.767100000005</v>
      </c>
      <c r="O126" s="7">
        <f t="shared" si="20"/>
        <v>57826.020113000006</v>
      </c>
      <c r="P126" s="7">
        <f t="shared" si="79"/>
        <v>0</v>
      </c>
      <c r="Q126" s="7">
        <f t="shared" si="10"/>
        <v>0</v>
      </c>
      <c r="R126" s="7">
        <f t="shared" si="90"/>
        <v>57826.020113000006</v>
      </c>
      <c r="S126" s="34">
        <f t="shared" si="21"/>
        <v>59560.800716390011</v>
      </c>
      <c r="T126" s="7">
        <f t="shared" si="80"/>
        <v>0</v>
      </c>
      <c r="U126" s="7">
        <f t="shared" si="13"/>
        <v>0</v>
      </c>
      <c r="V126" s="132">
        <f t="shared" si="91"/>
        <v>59560.800716390011</v>
      </c>
      <c r="W126" s="7">
        <f t="shared" si="22"/>
        <v>61347.624737881713</v>
      </c>
      <c r="X126" s="7">
        <f t="shared" si="81"/>
        <v>0</v>
      </c>
      <c r="Y126" s="7">
        <f t="shared" si="16"/>
        <v>0</v>
      </c>
      <c r="Z126" s="8">
        <f t="shared" si="92"/>
        <v>61347.624737881713</v>
      </c>
    </row>
    <row r="127" spans="1:26" x14ac:dyDescent="0.25">
      <c r="A127" s="24" t="s">
        <v>78</v>
      </c>
      <c r="B127" s="134">
        <v>9</v>
      </c>
      <c r="C127" s="317">
        <v>55007</v>
      </c>
      <c r="D127" s="7">
        <f t="shared" si="76"/>
        <v>0</v>
      </c>
      <c r="E127" s="7">
        <f t="shared" si="1"/>
        <v>0</v>
      </c>
      <c r="F127" s="8">
        <f t="shared" si="87"/>
        <v>55007</v>
      </c>
      <c r="G127" s="7">
        <f t="shared" si="18"/>
        <v>56657.21</v>
      </c>
      <c r="H127" s="7">
        <f t="shared" si="77"/>
        <v>0</v>
      </c>
      <c r="I127" s="7">
        <f t="shared" si="4"/>
        <v>0</v>
      </c>
      <c r="J127" s="7">
        <f t="shared" si="88"/>
        <v>56657.21</v>
      </c>
      <c r="K127" s="34">
        <f t="shared" si="19"/>
        <v>58356.926299999999</v>
      </c>
      <c r="L127" s="7">
        <f t="shared" si="78"/>
        <v>0</v>
      </c>
      <c r="M127" s="7">
        <f t="shared" si="7"/>
        <v>0</v>
      </c>
      <c r="N127" s="132">
        <f t="shared" si="89"/>
        <v>58356.926299999999</v>
      </c>
      <c r="O127" s="7">
        <f t="shared" si="20"/>
        <v>60107.634088999999</v>
      </c>
      <c r="P127" s="7">
        <f t="shared" si="79"/>
        <v>0</v>
      </c>
      <c r="Q127" s="7">
        <f t="shared" si="10"/>
        <v>0</v>
      </c>
      <c r="R127" s="7">
        <f t="shared" si="90"/>
        <v>60107.634088999999</v>
      </c>
      <c r="S127" s="34">
        <f t="shared" si="21"/>
        <v>61910.863111669998</v>
      </c>
      <c r="T127" s="7">
        <f t="shared" si="80"/>
        <v>0</v>
      </c>
      <c r="U127" s="7">
        <f t="shared" si="13"/>
        <v>0</v>
      </c>
      <c r="V127" s="132">
        <f t="shared" si="91"/>
        <v>61910.863111669998</v>
      </c>
      <c r="W127" s="7">
        <f t="shared" si="22"/>
        <v>63768.189005020096</v>
      </c>
      <c r="X127" s="7">
        <f t="shared" si="81"/>
        <v>0</v>
      </c>
      <c r="Y127" s="7">
        <f t="shared" si="16"/>
        <v>0</v>
      </c>
      <c r="Z127" s="8">
        <f t="shared" si="92"/>
        <v>63768.189005020096</v>
      </c>
    </row>
    <row r="128" spans="1:26" x14ac:dyDescent="0.25">
      <c r="A128" s="24" t="s">
        <v>79</v>
      </c>
      <c r="B128" s="134">
        <v>10</v>
      </c>
      <c r="C128" s="317">
        <v>57184</v>
      </c>
      <c r="D128" s="7">
        <f t="shared" si="76"/>
        <v>0</v>
      </c>
      <c r="E128" s="7">
        <f t="shared" si="1"/>
        <v>0</v>
      </c>
      <c r="F128" s="8">
        <f t="shared" si="87"/>
        <v>57184</v>
      </c>
      <c r="G128" s="7">
        <f t="shared" si="18"/>
        <v>58899.520000000004</v>
      </c>
      <c r="H128" s="7">
        <f t="shared" si="77"/>
        <v>0</v>
      </c>
      <c r="I128" s="7">
        <f t="shared" si="4"/>
        <v>0</v>
      </c>
      <c r="J128" s="7">
        <f t="shared" si="88"/>
        <v>58899.520000000004</v>
      </c>
      <c r="K128" s="34">
        <f t="shared" si="19"/>
        <v>60666.505600000004</v>
      </c>
      <c r="L128" s="7">
        <f t="shared" si="78"/>
        <v>0</v>
      </c>
      <c r="M128" s="7">
        <f t="shared" si="7"/>
        <v>0</v>
      </c>
      <c r="N128" s="132">
        <f t="shared" si="89"/>
        <v>60666.505600000004</v>
      </c>
      <c r="O128" s="7">
        <f t="shared" si="20"/>
        <v>62486.500768000005</v>
      </c>
      <c r="P128" s="7">
        <f t="shared" si="79"/>
        <v>0</v>
      </c>
      <c r="Q128" s="7">
        <f t="shared" si="10"/>
        <v>0</v>
      </c>
      <c r="R128" s="7">
        <f t="shared" si="90"/>
        <v>62486.500768000005</v>
      </c>
      <c r="S128" s="34">
        <f t="shared" si="21"/>
        <v>64361.09579104001</v>
      </c>
      <c r="T128" s="7">
        <f t="shared" si="80"/>
        <v>0</v>
      </c>
      <c r="U128" s="7">
        <f t="shared" si="13"/>
        <v>0</v>
      </c>
      <c r="V128" s="132">
        <f t="shared" si="91"/>
        <v>64361.09579104001</v>
      </c>
      <c r="W128" s="7">
        <f t="shared" si="22"/>
        <v>66291.928664771214</v>
      </c>
      <c r="X128" s="7">
        <f t="shared" si="81"/>
        <v>0</v>
      </c>
      <c r="Y128" s="7">
        <f t="shared" si="16"/>
        <v>0</v>
      </c>
      <c r="Z128" s="8">
        <f t="shared" si="92"/>
        <v>66291.928664771214</v>
      </c>
    </row>
    <row r="129" spans="1:26" x14ac:dyDescent="0.25">
      <c r="A129" s="24" t="s">
        <v>80</v>
      </c>
      <c r="B129" s="134">
        <v>11</v>
      </c>
      <c r="C129" s="317">
        <v>59373</v>
      </c>
      <c r="D129" s="7">
        <f t="shared" si="76"/>
        <v>0</v>
      </c>
      <c r="E129" s="7">
        <f>C129*$F$3</f>
        <v>0</v>
      </c>
      <c r="F129" s="8">
        <f t="shared" si="87"/>
        <v>59373</v>
      </c>
      <c r="G129" s="7">
        <f t="shared" si="18"/>
        <v>61154.19</v>
      </c>
      <c r="H129" s="7">
        <f t="shared" si="77"/>
        <v>0</v>
      </c>
      <c r="I129" s="7">
        <f>G129*$F$3</f>
        <v>0</v>
      </c>
      <c r="J129" s="7">
        <f t="shared" si="88"/>
        <v>61154.19</v>
      </c>
      <c r="K129" s="34">
        <f t="shared" si="19"/>
        <v>62988.815700000006</v>
      </c>
      <c r="L129" s="7">
        <f t="shared" si="78"/>
        <v>0</v>
      </c>
      <c r="M129" s="7">
        <f>K129*$F$3</f>
        <v>0</v>
      </c>
      <c r="N129" s="132">
        <f t="shared" si="89"/>
        <v>62988.815700000006</v>
      </c>
      <c r="O129" s="7">
        <f t="shared" si="20"/>
        <v>64878.48017100001</v>
      </c>
      <c r="P129" s="7">
        <f t="shared" si="79"/>
        <v>0</v>
      </c>
      <c r="Q129" s="7">
        <f>O129*$F$3</f>
        <v>0</v>
      </c>
      <c r="R129" s="7">
        <f t="shared" si="90"/>
        <v>64878.48017100001</v>
      </c>
      <c r="S129" s="34">
        <f t="shared" si="21"/>
        <v>66824.834576130015</v>
      </c>
      <c r="T129" s="7">
        <f t="shared" si="80"/>
        <v>0</v>
      </c>
      <c r="U129" s="7">
        <f>S129*$F$3</f>
        <v>0</v>
      </c>
      <c r="V129" s="132">
        <f t="shared" si="91"/>
        <v>66824.834576130015</v>
      </c>
      <c r="W129" s="7">
        <f t="shared" si="22"/>
        <v>68829.579613413924</v>
      </c>
      <c r="X129" s="7">
        <f t="shared" si="81"/>
        <v>0</v>
      </c>
      <c r="Y129" s="7">
        <f>W129*$F$3</f>
        <v>0</v>
      </c>
      <c r="Z129" s="8">
        <f t="shared" si="92"/>
        <v>68829.579613413924</v>
      </c>
    </row>
    <row r="130" spans="1:26" x14ac:dyDescent="0.25">
      <c r="A130" s="24" t="s">
        <v>81</v>
      </c>
      <c r="B130" s="134">
        <v>12</v>
      </c>
      <c r="C130" s="317">
        <v>61541</v>
      </c>
      <c r="D130" s="7">
        <f t="shared" si="76"/>
        <v>0</v>
      </c>
      <c r="E130" s="7">
        <f>C130*$F$3</f>
        <v>0</v>
      </c>
      <c r="F130" s="8">
        <f t="shared" si="87"/>
        <v>61541</v>
      </c>
      <c r="G130" s="7">
        <f>C130*$F$4</f>
        <v>63387.23</v>
      </c>
      <c r="H130" s="7">
        <f t="shared" si="77"/>
        <v>0</v>
      </c>
      <c r="I130" s="7">
        <f>G130*$F$3</f>
        <v>0</v>
      </c>
      <c r="J130" s="7">
        <f t="shared" si="88"/>
        <v>63387.23</v>
      </c>
      <c r="K130" s="34">
        <f>G130*$F$4</f>
        <v>65288.846900000004</v>
      </c>
      <c r="L130" s="7">
        <f t="shared" si="78"/>
        <v>0</v>
      </c>
      <c r="M130" s="7">
        <f>K130*$F$3</f>
        <v>0</v>
      </c>
      <c r="N130" s="132">
        <f t="shared" si="89"/>
        <v>65288.846900000004</v>
      </c>
      <c r="O130" s="7">
        <f>K130*$F$4</f>
        <v>67247.512307000012</v>
      </c>
      <c r="P130" s="7">
        <f t="shared" si="79"/>
        <v>0</v>
      </c>
      <c r="Q130" s="7">
        <f>O130*$F$3</f>
        <v>0</v>
      </c>
      <c r="R130" s="7">
        <f t="shared" si="90"/>
        <v>67247.512307000012</v>
      </c>
      <c r="S130" s="34">
        <f>O130*$F$4</f>
        <v>69264.937676210015</v>
      </c>
      <c r="T130" s="7">
        <f t="shared" si="80"/>
        <v>0</v>
      </c>
      <c r="U130" s="7">
        <f>S130*$F$3</f>
        <v>0</v>
      </c>
      <c r="V130" s="132">
        <f t="shared" si="91"/>
        <v>69264.937676210015</v>
      </c>
      <c r="W130" s="7">
        <f>S130*$F$4</f>
        <v>71342.885806496313</v>
      </c>
      <c r="X130" s="7">
        <f t="shared" si="81"/>
        <v>0</v>
      </c>
      <c r="Y130" s="7">
        <f>W130*$F$3</f>
        <v>0</v>
      </c>
      <c r="Z130" s="8">
        <f t="shared" si="92"/>
        <v>71342.885806496313</v>
      </c>
    </row>
    <row r="131" spans="1:26" x14ac:dyDescent="0.25">
      <c r="A131" s="24" t="s">
        <v>82</v>
      </c>
      <c r="B131" s="134">
        <v>13</v>
      </c>
      <c r="C131" s="317">
        <v>63829</v>
      </c>
      <c r="D131" s="7">
        <f t="shared" si="76"/>
        <v>0</v>
      </c>
      <c r="E131" s="7">
        <f>C131*$F$3</f>
        <v>0</v>
      </c>
      <c r="F131" s="8">
        <f t="shared" si="87"/>
        <v>63829</v>
      </c>
      <c r="G131" s="7">
        <f>C131*$F$4</f>
        <v>65743.87</v>
      </c>
      <c r="H131" s="7">
        <f t="shared" si="77"/>
        <v>0</v>
      </c>
      <c r="I131" s="7">
        <f>G131*$F$3</f>
        <v>0</v>
      </c>
      <c r="J131" s="7">
        <f t="shared" si="88"/>
        <v>65743.87</v>
      </c>
      <c r="K131" s="34">
        <f>G131*$F$4</f>
        <v>67716.186099999992</v>
      </c>
      <c r="L131" s="7">
        <f t="shared" si="78"/>
        <v>0</v>
      </c>
      <c r="M131" s="7">
        <f>K131*$F$3</f>
        <v>0</v>
      </c>
      <c r="N131" s="132">
        <f t="shared" si="89"/>
        <v>67716.186099999992</v>
      </c>
      <c r="O131" s="7">
        <f>K131*$F$4</f>
        <v>69747.671682999993</v>
      </c>
      <c r="P131" s="7">
        <f t="shared" si="79"/>
        <v>0</v>
      </c>
      <c r="Q131" s="7">
        <f>O131*$F$3</f>
        <v>0</v>
      </c>
      <c r="R131" s="7">
        <f t="shared" si="90"/>
        <v>69747.671682999993</v>
      </c>
      <c r="S131" s="34">
        <f>O131*$F$4</f>
        <v>71840.10183349</v>
      </c>
      <c r="T131" s="7">
        <f t="shared" si="80"/>
        <v>0</v>
      </c>
      <c r="U131" s="7">
        <f>S131*$F$3</f>
        <v>0</v>
      </c>
      <c r="V131" s="132">
        <f t="shared" si="91"/>
        <v>71840.10183349</v>
      </c>
      <c r="W131" s="7">
        <f>S131*$F$4</f>
        <v>73995.304888494706</v>
      </c>
      <c r="X131" s="7">
        <f t="shared" si="81"/>
        <v>0</v>
      </c>
      <c r="Y131" s="7">
        <f>W131*$F$3</f>
        <v>0</v>
      </c>
      <c r="Z131" s="8">
        <f t="shared" si="92"/>
        <v>73995.304888494706</v>
      </c>
    </row>
    <row r="132" spans="1:26" x14ac:dyDescent="0.25">
      <c r="A132" s="24" t="s">
        <v>83</v>
      </c>
      <c r="B132" s="134">
        <v>14</v>
      </c>
      <c r="C132" s="317">
        <v>66011</v>
      </c>
      <c r="D132" s="7">
        <f>C132*$F$2</f>
        <v>0</v>
      </c>
      <c r="E132" s="7">
        <f>C132*$F$3</f>
        <v>0</v>
      </c>
      <c r="F132" s="8">
        <f t="shared" si="87"/>
        <v>66011</v>
      </c>
      <c r="G132" s="7">
        <f>C132*$F$4</f>
        <v>67991.33</v>
      </c>
      <c r="H132" s="7">
        <f>G132*$F$2</f>
        <v>0</v>
      </c>
      <c r="I132" s="7">
        <f>G132*$F$3</f>
        <v>0</v>
      </c>
      <c r="J132" s="7">
        <f t="shared" si="88"/>
        <v>67991.33</v>
      </c>
      <c r="K132" s="34">
        <f>G132*$F$4</f>
        <v>70031.069900000002</v>
      </c>
      <c r="L132" s="7">
        <f>K132*$F$2</f>
        <v>0</v>
      </c>
      <c r="M132" s="7">
        <f>K132*$F$3</f>
        <v>0</v>
      </c>
      <c r="N132" s="132">
        <f t="shared" si="89"/>
        <v>70031.069900000002</v>
      </c>
      <c r="O132" s="7">
        <f>K132*$F$4</f>
        <v>72132.001996999999</v>
      </c>
      <c r="P132" s="7">
        <f>O132*$F$2</f>
        <v>0</v>
      </c>
      <c r="Q132" s="7">
        <f>O132*$F$3</f>
        <v>0</v>
      </c>
      <c r="R132" s="7">
        <f t="shared" si="90"/>
        <v>72132.001996999999</v>
      </c>
      <c r="S132" s="34">
        <f>O132*$F$4</f>
        <v>74295.962056910008</v>
      </c>
      <c r="T132" s="7">
        <f>S132*$F$2</f>
        <v>0</v>
      </c>
      <c r="U132" s="7">
        <f>S132*$F$3</f>
        <v>0</v>
      </c>
      <c r="V132" s="132">
        <f t="shared" si="91"/>
        <v>74295.962056910008</v>
      </c>
      <c r="W132" s="7">
        <f>S132*$F$4</f>
        <v>76524.840918617308</v>
      </c>
      <c r="X132" s="7">
        <f>W132*$F$2</f>
        <v>0</v>
      </c>
      <c r="Y132" s="7">
        <f>W132*$F$3</f>
        <v>0</v>
      </c>
      <c r="Z132" s="8">
        <f t="shared" si="92"/>
        <v>76524.840918617308</v>
      </c>
    </row>
    <row r="133" spans="1:26" x14ac:dyDescent="0.25">
      <c r="A133" s="119" t="s">
        <v>266</v>
      </c>
      <c r="B133" s="134"/>
      <c r="C133" s="34">
        <v>0</v>
      </c>
      <c r="D133" s="7"/>
      <c r="E133" s="7"/>
      <c r="F133" s="8"/>
      <c r="G133" s="7"/>
      <c r="H133" s="7"/>
      <c r="I133" s="7"/>
      <c r="J133" s="7">
        <f>$J$132</f>
        <v>67991.33</v>
      </c>
      <c r="K133" s="34">
        <v>64406.401812500008</v>
      </c>
      <c r="L133" s="7">
        <v>7116.9074002812513</v>
      </c>
      <c r="M133" s="7">
        <v>6440.6401812500008</v>
      </c>
      <c r="N133" s="132">
        <f>$N$132</f>
        <v>70031.069900000002</v>
      </c>
      <c r="O133" s="7">
        <v>65533.51384421876</v>
      </c>
      <c r="P133" s="7">
        <v>7241.453279786173</v>
      </c>
      <c r="Q133" s="7">
        <v>6553.351384421876</v>
      </c>
      <c r="R133" s="7">
        <f>$R$132</f>
        <v>72132.001996999999</v>
      </c>
      <c r="S133" s="34">
        <v>66680.3503364926</v>
      </c>
      <c r="T133" s="7">
        <v>7368.1787121824327</v>
      </c>
      <c r="U133" s="7">
        <v>6668.0350336492602</v>
      </c>
      <c r="V133" s="132">
        <f>$V$132</f>
        <v>74295.962056910008</v>
      </c>
      <c r="W133" s="7">
        <v>67847.25646738123</v>
      </c>
      <c r="X133" s="7">
        <v>7497.1218396456261</v>
      </c>
      <c r="Y133" s="7">
        <v>6784.725646738123</v>
      </c>
      <c r="Z133" s="8">
        <f>$Z$132</f>
        <v>76524.840918617308</v>
      </c>
    </row>
    <row r="134" spans="1:26" x14ac:dyDescent="0.25">
      <c r="A134" s="119" t="s">
        <v>266</v>
      </c>
      <c r="B134" s="134"/>
      <c r="C134" s="34">
        <v>0</v>
      </c>
      <c r="D134" s="7"/>
      <c r="E134" s="7"/>
      <c r="F134" s="8"/>
      <c r="G134" s="7"/>
      <c r="H134" s="7"/>
      <c r="I134" s="7"/>
      <c r="J134" s="7">
        <f t="shared" ref="J134:J145" si="93">$J$132</f>
        <v>67991.33</v>
      </c>
      <c r="K134" s="34">
        <v>64406.401812500008</v>
      </c>
      <c r="L134" s="7">
        <v>7116.9074002812513</v>
      </c>
      <c r="M134" s="7">
        <v>6440.6401812500008</v>
      </c>
      <c r="N134" s="132">
        <f t="shared" ref="N134:N145" si="94">$N$132</f>
        <v>70031.069900000002</v>
      </c>
      <c r="O134" s="7">
        <v>65533.51384421876</v>
      </c>
      <c r="P134" s="7">
        <v>7241.453279786173</v>
      </c>
      <c r="Q134" s="7">
        <v>6553.351384421876</v>
      </c>
      <c r="R134" s="7">
        <f t="shared" ref="R134:R145" si="95">$R$132</f>
        <v>72132.001996999999</v>
      </c>
      <c r="S134" s="34">
        <v>66680.3503364926</v>
      </c>
      <c r="T134" s="7">
        <v>7368.1787121824327</v>
      </c>
      <c r="U134" s="7">
        <v>6668.0350336492602</v>
      </c>
      <c r="V134" s="132">
        <f t="shared" ref="V134:V145" si="96">$V$132</f>
        <v>74295.962056910008</v>
      </c>
      <c r="W134" s="7">
        <v>67847.25646738123</v>
      </c>
      <c r="X134" s="7">
        <v>7497.1218396456261</v>
      </c>
      <c r="Y134" s="7">
        <v>6784.725646738123</v>
      </c>
      <c r="Z134" s="8">
        <f t="shared" ref="Z134:Z145" si="97">$Z$132</f>
        <v>76524.840918617308</v>
      </c>
    </row>
    <row r="135" spans="1:26" x14ac:dyDescent="0.25">
      <c r="A135" s="119" t="s">
        <v>266</v>
      </c>
      <c r="B135" s="134"/>
      <c r="C135" s="34">
        <v>0</v>
      </c>
      <c r="D135" s="7"/>
      <c r="E135" s="7"/>
      <c r="F135" s="8"/>
      <c r="G135" s="7"/>
      <c r="H135" s="7"/>
      <c r="I135" s="7"/>
      <c r="J135" s="7">
        <f t="shared" si="93"/>
        <v>67991.33</v>
      </c>
      <c r="K135" s="34">
        <v>64406.401812500008</v>
      </c>
      <c r="L135" s="7">
        <v>7116.9074002812513</v>
      </c>
      <c r="M135" s="7">
        <v>6440.6401812500008</v>
      </c>
      <c r="N135" s="132">
        <f t="shared" si="94"/>
        <v>70031.069900000002</v>
      </c>
      <c r="O135" s="7">
        <v>65533.51384421876</v>
      </c>
      <c r="P135" s="7">
        <v>7241.453279786173</v>
      </c>
      <c r="Q135" s="7">
        <v>6553.351384421876</v>
      </c>
      <c r="R135" s="7">
        <f t="shared" si="95"/>
        <v>72132.001996999999</v>
      </c>
      <c r="S135" s="34">
        <v>66680.3503364926</v>
      </c>
      <c r="T135" s="7">
        <v>7368.1787121824327</v>
      </c>
      <c r="U135" s="7">
        <v>6668.0350336492602</v>
      </c>
      <c r="V135" s="132">
        <f t="shared" si="96"/>
        <v>74295.962056910008</v>
      </c>
      <c r="W135" s="7">
        <v>67847.25646738123</v>
      </c>
      <c r="X135" s="7">
        <v>7497.1218396456261</v>
      </c>
      <c r="Y135" s="7">
        <v>6784.725646738123</v>
      </c>
      <c r="Z135" s="8">
        <f t="shared" si="97"/>
        <v>76524.840918617308</v>
      </c>
    </row>
    <row r="136" spans="1:26" x14ac:dyDescent="0.25">
      <c r="A136" s="119" t="s">
        <v>266</v>
      </c>
      <c r="B136" s="134"/>
      <c r="C136" s="34">
        <v>0</v>
      </c>
      <c r="D136" s="7"/>
      <c r="E136" s="7"/>
      <c r="F136" s="8"/>
      <c r="G136" s="7"/>
      <c r="H136" s="7"/>
      <c r="I136" s="7"/>
      <c r="J136" s="7">
        <f t="shared" si="93"/>
        <v>67991.33</v>
      </c>
      <c r="K136" s="34">
        <v>64406.401812500008</v>
      </c>
      <c r="L136" s="7">
        <v>7116.9074002812513</v>
      </c>
      <c r="M136" s="7">
        <v>6440.6401812500008</v>
      </c>
      <c r="N136" s="132">
        <f t="shared" si="94"/>
        <v>70031.069900000002</v>
      </c>
      <c r="O136" s="7">
        <v>65533.51384421876</v>
      </c>
      <c r="P136" s="7">
        <v>7241.453279786173</v>
      </c>
      <c r="Q136" s="7">
        <v>6553.351384421876</v>
      </c>
      <c r="R136" s="7">
        <f t="shared" si="95"/>
        <v>72132.001996999999</v>
      </c>
      <c r="S136" s="34">
        <v>66680.3503364926</v>
      </c>
      <c r="T136" s="7">
        <v>7368.1787121824327</v>
      </c>
      <c r="U136" s="7">
        <v>6668.0350336492602</v>
      </c>
      <c r="V136" s="132">
        <f t="shared" si="96"/>
        <v>74295.962056910008</v>
      </c>
      <c r="W136" s="7">
        <v>67847.25646738123</v>
      </c>
      <c r="X136" s="7">
        <v>7497.1218396456261</v>
      </c>
      <c r="Y136" s="7">
        <v>6784.725646738123</v>
      </c>
      <c r="Z136" s="8">
        <f t="shared" si="97"/>
        <v>76524.840918617308</v>
      </c>
    </row>
    <row r="137" spans="1:26" x14ac:dyDescent="0.25">
      <c r="A137" s="119" t="s">
        <v>266</v>
      </c>
      <c r="B137" s="134"/>
      <c r="C137" s="34">
        <v>0</v>
      </c>
      <c r="D137" s="7"/>
      <c r="E137" s="7"/>
      <c r="F137" s="8"/>
      <c r="G137" s="7"/>
      <c r="H137" s="7"/>
      <c r="I137" s="7"/>
      <c r="J137" s="7">
        <f t="shared" si="93"/>
        <v>67991.33</v>
      </c>
      <c r="K137" s="34">
        <v>64406.401812500008</v>
      </c>
      <c r="L137" s="7">
        <v>7116.9074002812513</v>
      </c>
      <c r="M137" s="7">
        <v>6440.6401812500008</v>
      </c>
      <c r="N137" s="132">
        <f t="shared" si="94"/>
        <v>70031.069900000002</v>
      </c>
      <c r="O137" s="7">
        <v>65533.51384421876</v>
      </c>
      <c r="P137" s="7">
        <v>7241.453279786173</v>
      </c>
      <c r="Q137" s="7">
        <v>6553.351384421876</v>
      </c>
      <c r="R137" s="7">
        <f t="shared" si="95"/>
        <v>72132.001996999999</v>
      </c>
      <c r="S137" s="34">
        <v>66680.3503364926</v>
      </c>
      <c r="T137" s="7">
        <v>7368.1787121824327</v>
      </c>
      <c r="U137" s="7">
        <v>6668.0350336492602</v>
      </c>
      <c r="V137" s="132">
        <f t="shared" si="96"/>
        <v>74295.962056910008</v>
      </c>
      <c r="W137" s="7">
        <v>67847.25646738123</v>
      </c>
      <c r="X137" s="7">
        <v>7497.1218396456261</v>
      </c>
      <c r="Y137" s="7">
        <v>6784.725646738123</v>
      </c>
      <c r="Z137" s="8">
        <f t="shared" si="97"/>
        <v>76524.840918617308</v>
      </c>
    </row>
    <row r="138" spans="1:26" x14ac:dyDescent="0.25">
      <c r="A138" s="119" t="s">
        <v>266</v>
      </c>
      <c r="B138" s="134"/>
      <c r="C138" s="34">
        <v>0</v>
      </c>
      <c r="D138" s="7"/>
      <c r="E138" s="7"/>
      <c r="F138" s="8"/>
      <c r="G138" s="7"/>
      <c r="H138" s="7"/>
      <c r="I138" s="7"/>
      <c r="J138" s="7">
        <f t="shared" si="93"/>
        <v>67991.33</v>
      </c>
      <c r="K138" s="34">
        <v>64406.401812500008</v>
      </c>
      <c r="L138" s="7">
        <v>7116.9074002812513</v>
      </c>
      <c r="M138" s="7">
        <v>6440.6401812500008</v>
      </c>
      <c r="N138" s="132">
        <f t="shared" si="94"/>
        <v>70031.069900000002</v>
      </c>
      <c r="O138" s="7">
        <v>65533.51384421876</v>
      </c>
      <c r="P138" s="7">
        <v>7241.453279786173</v>
      </c>
      <c r="Q138" s="7">
        <v>6553.351384421876</v>
      </c>
      <c r="R138" s="7">
        <f t="shared" si="95"/>
        <v>72132.001996999999</v>
      </c>
      <c r="S138" s="34">
        <v>66680.3503364926</v>
      </c>
      <c r="T138" s="7">
        <v>7368.1787121824327</v>
      </c>
      <c r="U138" s="7">
        <v>6668.0350336492602</v>
      </c>
      <c r="V138" s="132">
        <f t="shared" si="96"/>
        <v>74295.962056910008</v>
      </c>
      <c r="W138" s="7">
        <v>67847.25646738123</v>
      </c>
      <c r="X138" s="7">
        <v>7497.1218396456261</v>
      </c>
      <c r="Y138" s="7">
        <v>6784.725646738123</v>
      </c>
      <c r="Z138" s="8">
        <f t="shared" si="97"/>
        <v>76524.840918617308</v>
      </c>
    </row>
    <row r="139" spans="1:26" x14ac:dyDescent="0.25">
      <c r="A139" s="119" t="s">
        <v>266</v>
      </c>
      <c r="B139" s="134"/>
      <c r="C139" s="34">
        <v>0</v>
      </c>
      <c r="D139" s="7"/>
      <c r="E139" s="7"/>
      <c r="F139" s="8"/>
      <c r="G139" s="7"/>
      <c r="H139" s="7"/>
      <c r="I139" s="7"/>
      <c r="J139" s="7">
        <f t="shared" si="93"/>
        <v>67991.33</v>
      </c>
      <c r="K139" s="34">
        <v>64406.401812500008</v>
      </c>
      <c r="L139" s="7">
        <v>7116.9074002812513</v>
      </c>
      <c r="M139" s="7">
        <v>6440.6401812500008</v>
      </c>
      <c r="N139" s="132">
        <f t="shared" si="94"/>
        <v>70031.069900000002</v>
      </c>
      <c r="O139" s="7">
        <v>65533.51384421876</v>
      </c>
      <c r="P139" s="7">
        <v>7241.453279786173</v>
      </c>
      <c r="Q139" s="7">
        <v>6553.351384421876</v>
      </c>
      <c r="R139" s="7">
        <f t="shared" si="95"/>
        <v>72132.001996999999</v>
      </c>
      <c r="S139" s="34">
        <v>66680.3503364926</v>
      </c>
      <c r="T139" s="7">
        <v>7368.1787121824327</v>
      </c>
      <c r="U139" s="7">
        <v>6668.0350336492602</v>
      </c>
      <c r="V139" s="132">
        <f t="shared" si="96"/>
        <v>74295.962056910008</v>
      </c>
      <c r="W139" s="7">
        <v>67847.25646738123</v>
      </c>
      <c r="X139" s="7">
        <v>7497.1218396456261</v>
      </c>
      <c r="Y139" s="7">
        <v>6784.725646738123</v>
      </c>
      <c r="Z139" s="8">
        <f t="shared" si="97"/>
        <v>76524.840918617308</v>
      </c>
    </row>
    <row r="140" spans="1:26" x14ac:dyDescent="0.25">
      <c r="A140" s="119" t="s">
        <v>266</v>
      </c>
      <c r="B140" s="134"/>
      <c r="C140" s="34">
        <v>0</v>
      </c>
      <c r="D140" s="7"/>
      <c r="E140" s="7"/>
      <c r="F140" s="8"/>
      <c r="G140" s="7"/>
      <c r="H140" s="7"/>
      <c r="I140" s="7"/>
      <c r="J140" s="7">
        <f t="shared" si="93"/>
        <v>67991.33</v>
      </c>
      <c r="K140" s="34">
        <v>64406.401812500008</v>
      </c>
      <c r="L140" s="7">
        <v>7116.9074002812513</v>
      </c>
      <c r="M140" s="7">
        <v>6440.6401812500008</v>
      </c>
      <c r="N140" s="132">
        <f t="shared" si="94"/>
        <v>70031.069900000002</v>
      </c>
      <c r="O140" s="7">
        <v>65533.51384421876</v>
      </c>
      <c r="P140" s="7">
        <v>7241.453279786173</v>
      </c>
      <c r="Q140" s="7">
        <v>6553.351384421876</v>
      </c>
      <c r="R140" s="7">
        <f t="shared" si="95"/>
        <v>72132.001996999999</v>
      </c>
      <c r="S140" s="34">
        <v>66680.3503364926</v>
      </c>
      <c r="T140" s="7">
        <v>7368.1787121824327</v>
      </c>
      <c r="U140" s="7">
        <v>6668.0350336492602</v>
      </c>
      <c r="V140" s="132">
        <f t="shared" si="96"/>
        <v>74295.962056910008</v>
      </c>
      <c r="W140" s="7">
        <v>67847.25646738123</v>
      </c>
      <c r="X140" s="7">
        <v>7497.1218396456261</v>
      </c>
      <c r="Y140" s="7">
        <v>6784.725646738123</v>
      </c>
      <c r="Z140" s="8">
        <f t="shared" si="97"/>
        <v>76524.840918617308</v>
      </c>
    </row>
    <row r="141" spans="1:26" x14ac:dyDescent="0.25">
      <c r="A141" s="119" t="s">
        <v>266</v>
      </c>
      <c r="B141" s="134"/>
      <c r="C141" s="34">
        <v>0</v>
      </c>
      <c r="D141" s="7"/>
      <c r="E141" s="7"/>
      <c r="F141" s="8"/>
      <c r="G141" s="7"/>
      <c r="H141" s="7"/>
      <c r="I141" s="7"/>
      <c r="J141" s="7">
        <f t="shared" si="93"/>
        <v>67991.33</v>
      </c>
      <c r="K141" s="34">
        <v>64406.401812500008</v>
      </c>
      <c r="L141" s="7">
        <v>7116.9074002812513</v>
      </c>
      <c r="M141" s="7">
        <v>6440.6401812500008</v>
      </c>
      <c r="N141" s="132">
        <f t="shared" si="94"/>
        <v>70031.069900000002</v>
      </c>
      <c r="O141" s="7">
        <v>65533.51384421876</v>
      </c>
      <c r="P141" s="7">
        <v>7241.453279786173</v>
      </c>
      <c r="Q141" s="7">
        <v>6553.351384421876</v>
      </c>
      <c r="R141" s="7">
        <f t="shared" si="95"/>
        <v>72132.001996999999</v>
      </c>
      <c r="S141" s="34">
        <v>66680.3503364926</v>
      </c>
      <c r="T141" s="7">
        <v>7368.1787121824327</v>
      </c>
      <c r="U141" s="7">
        <v>6668.0350336492602</v>
      </c>
      <c r="V141" s="132">
        <f t="shared" si="96"/>
        <v>74295.962056910008</v>
      </c>
      <c r="W141" s="7">
        <v>67847.25646738123</v>
      </c>
      <c r="X141" s="7">
        <v>7497.1218396456261</v>
      </c>
      <c r="Y141" s="7">
        <v>6784.725646738123</v>
      </c>
      <c r="Z141" s="8">
        <f t="shared" si="97"/>
        <v>76524.840918617308</v>
      </c>
    </row>
    <row r="142" spans="1:26" x14ac:dyDescent="0.25">
      <c r="A142" s="119" t="s">
        <v>266</v>
      </c>
      <c r="B142" s="136"/>
      <c r="C142" s="130">
        <v>0</v>
      </c>
      <c r="F142" s="64"/>
      <c r="J142" s="7">
        <f t="shared" si="93"/>
        <v>67991.33</v>
      </c>
      <c r="K142" s="34">
        <v>64406.401812500008</v>
      </c>
      <c r="L142" s="7">
        <v>7116.9074002812513</v>
      </c>
      <c r="M142" s="7">
        <v>6440.6401812500008</v>
      </c>
      <c r="N142" s="132">
        <f t="shared" si="94"/>
        <v>70031.069900000002</v>
      </c>
      <c r="O142" s="7">
        <v>65533.51384421876</v>
      </c>
      <c r="P142" s="7">
        <v>7241.453279786173</v>
      </c>
      <c r="Q142" s="7">
        <v>6553.351384421876</v>
      </c>
      <c r="R142" s="7">
        <f t="shared" si="95"/>
        <v>72132.001996999999</v>
      </c>
      <c r="S142" s="34">
        <v>66680.3503364926</v>
      </c>
      <c r="T142" s="7">
        <v>7368.1787121824327</v>
      </c>
      <c r="U142" s="7">
        <v>6668.0350336492602</v>
      </c>
      <c r="V142" s="132">
        <f t="shared" si="96"/>
        <v>74295.962056910008</v>
      </c>
      <c r="W142" s="7">
        <v>67847.25646738123</v>
      </c>
      <c r="X142" s="7">
        <v>7497.1218396456261</v>
      </c>
      <c r="Y142" s="7">
        <v>6784.725646738123</v>
      </c>
      <c r="Z142" s="8">
        <f t="shared" si="97"/>
        <v>76524.840918617308</v>
      </c>
    </row>
    <row r="143" spans="1:26" x14ac:dyDescent="0.25">
      <c r="A143" s="119" t="s">
        <v>266</v>
      </c>
      <c r="B143" s="136"/>
      <c r="C143" s="130">
        <v>0</v>
      </c>
      <c r="F143" s="64"/>
      <c r="J143" s="7">
        <f t="shared" si="93"/>
        <v>67991.33</v>
      </c>
      <c r="K143" s="34">
        <v>64406.401812500008</v>
      </c>
      <c r="L143" s="7">
        <v>7116.9074002812513</v>
      </c>
      <c r="M143" s="7">
        <v>6440.6401812500008</v>
      </c>
      <c r="N143" s="132">
        <f t="shared" si="94"/>
        <v>70031.069900000002</v>
      </c>
      <c r="O143" s="7">
        <v>65533.51384421876</v>
      </c>
      <c r="P143" s="7">
        <v>7241.453279786173</v>
      </c>
      <c r="Q143" s="7">
        <v>6553.351384421876</v>
      </c>
      <c r="R143" s="7">
        <f t="shared" si="95"/>
        <v>72132.001996999999</v>
      </c>
      <c r="S143" s="34">
        <v>66680.3503364926</v>
      </c>
      <c r="T143" s="7">
        <v>7368.1787121824327</v>
      </c>
      <c r="U143" s="7">
        <v>6668.0350336492602</v>
      </c>
      <c r="V143" s="132">
        <f t="shared" si="96"/>
        <v>74295.962056910008</v>
      </c>
      <c r="W143" s="7">
        <v>67847.25646738123</v>
      </c>
      <c r="X143" s="7">
        <v>7497.1218396456261</v>
      </c>
      <c r="Y143" s="7">
        <v>6784.725646738123</v>
      </c>
      <c r="Z143" s="8">
        <f t="shared" si="97"/>
        <v>76524.840918617308</v>
      </c>
    </row>
    <row r="144" spans="1:26" x14ac:dyDescent="0.25">
      <c r="A144" s="119" t="s">
        <v>266</v>
      </c>
      <c r="B144" s="136"/>
      <c r="C144" s="130">
        <v>0</v>
      </c>
      <c r="F144" s="64"/>
      <c r="J144" s="7">
        <f t="shared" si="93"/>
        <v>67991.33</v>
      </c>
      <c r="K144" s="34">
        <v>64406.401812500008</v>
      </c>
      <c r="L144" s="7">
        <v>7116.9074002812513</v>
      </c>
      <c r="M144" s="7">
        <v>6440.6401812500008</v>
      </c>
      <c r="N144" s="132">
        <f t="shared" si="94"/>
        <v>70031.069900000002</v>
      </c>
      <c r="O144" s="7">
        <v>65533.51384421876</v>
      </c>
      <c r="P144" s="7">
        <v>7241.453279786173</v>
      </c>
      <c r="Q144" s="7">
        <v>6553.351384421876</v>
      </c>
      <c r="R144" s="7">
        <f t="shared" si="95"/>
        <v>72132.001996999999</v>
      </c>
      <c r="S144" s="34">
        <v>66680.3503364926</v>
      </c>
      <c r="T144" s="7">
        <v>7368.1787121824327</v>
      </c>
      <c r="U144" s="7">
        <v>6668.0350336492602</v>
      </c>
      <c r="V144" s="132">
        <f t="shared" si="96"/>
        <v>74295.962056910008</v>
      </c>
      <c r="W144" s="7">
        <v>67847.25646738123</v>
      </c>
      <c r="X144" s="7">
        <v>7497.1218396456261</v>
      </c>
      <c r="Y144" s="7">
        <v>6784.725646738123</v>
      </c>
      <c r="Z144" s="8">
        <f t="shared" si="97"/>
        <v>76524.840918617308</v>
      </c>
    </row>
    <row r="145" spans="1:26" ht="15.75" thickBot="1" x14ac:dyDescent="0.3">
      <c r="A145" s="120" t="s">
        <v>266</v>
      </c>
      <c r="B145" s="84"/>
      <c r="C145" s="80">
        <v>0</v>
      </c>
      <c r="D145" s="62"/>
      <c r="E145" s="62"/>
      <c r="F145" s="65"/>
      <c r="G145" s="62"/>
      <c r="H145" s="62"/>
      <c r="I145" s="62"/>
      <c r="J145" s="7">
        <f t="shared" si="93"/>
        <v>67991.33</v>
      </c>
      <c r="K145" s="35">
        <v>64406.401812500008</v>
      </c>
      <c r="L145" s="10">
        <v>7116.9074002812513</v>
      </c>
      <c r="M145" s="10">
        <v>6440.6401812500008</v>
      </c>
      <c r="N145" s="132">
        <f t="shared" si="94"/>
        <v>70031.069900000002</v>
      </c>
      <c r="O145" s="10">
        <v>65533.51384421876</v>
      </c>
      <c r="P145" s="10">
        <v>7241.453279786173</v>
      </c>
      <c r="Q145" s="10">
        <v>6553.351384421876</v>
      </c>
      <c r="R145" s="7">
        <f t="shared" si="95"/>
        <v>72132.001996999999</v>
      </c>
      <c r="S145" s="35">
        <v>66680.3503364926</v>
      </c>
      <c r="T145" s="10">
        <v>7368.1787121824327</v>
      </c>
      <c r="U145" s="10">
        <v>6668.0350336492602</v>
      </c>
      <c r="V145" s="132">
        <f t="shared" si="96"/>
        <v>74295.962056910008</v>
      </c>
      <c r="W145" s="10">
        <v>67847.25646738123</v>
      </c>
      <c r="X145" s="10">
        <v>7497.1218396456261</v>
      </c>
      <c r="Y145" s="10">
        <v>6784.725646738123</v>
      </c>
      <c r="Z145" s="8">
        <f t="shared" si="97"/>
        <v>76524.840918617308</v>
      </c>
    </row>
    <row r="146" spans="1:26" x14ac:dyDescent="0.25">
      <c r="C146" s="2">
        <v>0</v>
      </c>
    </row>
    <row r="147" spans="1:26" x14ac:dyDescent="0.25">
      <c r="C147" s="2">
        <v>0</v>
      </c>
    </row>
    <row r="148" spans="1:26" x14ac:dyDescent="0.25">
      <c r="C148" s="2">
        <v>0</v>
      </c>
    </row>
    <row r="149" spans="1:26" x14ac:dyDescent="0.25">
      <c r="C149" s="2">
        <v>0</v>
      </c>
    </row>
    <row r="150" spans="1:26" x14ac:dyDescent="0.25">
      <c r="C150" s="2">
        <v>0</v>
      </c>
    </row>
    <row r="151" spans="1:26" x14ac:dyDescent="0.25">
      <c r="C151" s="2">
        <v>0</v>
      </c>
    </row>
    <row r="152" spans="1:26" x14ac:dyDescent="0.25">
      <c r="C152" s="2">
        <v>0</v>
      </c>
    </row>
    <row r="153" spans="1:26" x14ac:dyDescent="0.25">
      <c r="C153" s="2">
        <v>0</v>
      </c>
    </row>
    <row r="154" spans="1:26" x14ac:dyDescent="0.25">
      <c r="C154" s="2">
        <v>0</v>
      </c>
    </row>
    <row r="155" spans="1:26" x14ac:dyDescent="0.25">
      <c r="C155" s="2">
        <v>0</v>
      </c>
    </row>
    <row r="156" spans="1:26" x14ac:dyDescent="0.25">
      <c r="C156" s="2">
        <v>0</v>
      </c>
    </row>
    <row r="157" spans="1:26" x14ac:dyDescent="0.25">
      <c r="C157" s="2">
        <v>0</v>
      </c>
    </row>
    <row r="158" spans="1:26" x14ac:dyDescent="0.25">
      <c r="C158" s="2">
        <v>0</v>
      </c>
    </row>
    <row r="159" spans="1:26" x14ac:dyDescent="0.25">
      <c r="C159" s="2">
        <v>0</v>
      </c>
    </row>
    <row r="160" spans="1:26" x14ac:dyDescent="0.25">
      <c r="C160" s="2">
        <v>0</v>
      </c>
    </row>
    <row r="161" spans="3:3" x14ac:dyDescent="0.25">
      <c r="C161" s="2">
        <v>0</v>
      </c>
    </row>
    <row r="162" spans="3:3" x14ac:dyDescent="0.25">
      <c r="C162" s="2">
        <v>0</v>
      </c>
    </row>
    <row r="163" spans="3:3" x14ac:dyDescent="0.25">
      <c r="C163" s="2">
        <v>0</v>
      </c>
    </row>
    <row r="164" spans="3:3" x14ac:dyDescent="0.25">
      <c r="C164" s="2">
        <v>0</v>
      </c>
    </row>
    <row r="165" spans="3:3" x14ac:dyDescent="0.25">
      <c r="C165" s="2">
        <v>0</v>
      </c>
    </row>
  </sheetData>
  <mergeCells count="8">
    <mergeCell ref="C8:F8"/>
    <mergeCell ref="W7:Z7"/>
    <mergeCell ref="E1:F1"/>
    <mergeCell ref="C7:F7"/>
    <mergeCell ref="G7:J7"/>
    <mergeCell ref="K7:N7"/>
    <mergeCell ref="O7:R7"/>
    <mergeCell ref="S7:V7"/>
  </mergeCells>
  <pageMargins left="0.7" right="0.7" top="0.75" bottom="0.75" header="0.3" footer="0.3"/>
  <pageSetup paperSize="9" orientation="portrait" horizontalDpi="4294967293"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5DF8-CF04-4304-8813-6B2E63AC4F9E}">
  <sheetPr codeName="Sheet16"/>
  <dimension ref="A1:J52"/>
  <sheetViews>
    <sheetView workbookViewId="0">
      <pane ySplit="2" topLeftCell="A3" activePane="bottomLeft" state="frozen"/>
      <selection activeCell="H75" sqref="H75"/>
      <selection pane="bottomLeft" activeCell="I18" sqref="I18"/>
    </sheetView>
  </sheetViews>
  <sheetFormatPr defaultRowHeight="15" x14ac:dyDescent="0.25"/>
  <cols>
    <col min="1" max="1" width="59" customWidth="1"/>
    <col min="2" max="2" width="12.5703125" customWidth="1"/>
    <col min="3" max="5" width="9.85546875" bestFit="1" customWidth="1"/>
    <col min="6" max="6" width="8.85546875" customWidth="1"/>
    <col min="9" max="9" width="17.28515625" bestFit="1" customWidth="1"/>
  </cols>
  <sheetData>
    <row r="1" spans="1:10" x14ac:dyDescent="0.25">
      <c r="A1" s="1" t="s">
        <v>200</v>
      </c>
    </row>
    <row r="3" spans="1:10" x14ac:dyDescent="0.25">
      <c r="B3">
        <v>2</v>
      </c>
      <c r="C3">
        <v>3</v>
      </c>
      <c r="D3">
        <v>4</v>
      </c>
      <c r="E3">
        <v>5</v>
      </c>
      <c r="F3">
        <v>6</v>
      </c>
    </row>
    <row r="4" spans="1:10" ht="15.75" thickBot="1" x14ac:dyDescent="0.3">
      <c r="B4" s="21" t="s">
        <v>116</v>
      </c>
      <c r="C4" s="3" t="s">
        <v>117</v>
      </c>
      <c r="D4" s="3" t="s">
        <v>125</v>
      </c>
      <c r="E4" s="3" t="s">
        <v>219</v>
      </c>
      <c r="F4" s="3" t="s">
        <v>351</v>
      </c>
    </row>
    <row r="5" spans="1:10" x14ac:dyDescent="0.25">
      <c r="A5" s="20" t="s">
        <v>15</v>
      </c>
      <c r="B5" s="66" t="s">
        <v>6</v>
      </c>
      <c r="C5" s="66" t="s">
        <v>6</v>
      </c>
      <c r="D5" s="66" t="s">
        <v>6</v>
      </c>
      <c r="E5" s="66" t="s">
        <v>6</v>
      </c>
      <c r="F5" s="66" t="s">
        <v>6</v>
      </c>
    </row>
    <row r="6" spans="1:10" x14ac:dyDescent="0.25">
      <c r="A6" s="70" t="s">
        <v>368</v>
      </c>
      <c r="B6" s="71">
        <v>19000</v>
      </c>
      <c r="C6" s="83">
        <f>B6*H6</f>
        <v>19380</v>
      </c>
      <c r="D6" s="83">
        <f>C6*H6</f>
        <v>19767.599999999999</v>
      </c>
      <c r="E6" s="83">
        <f>D6*H6</f>
        <v>20162.951999999997</v>
      </c>
      <c r="F6" s="83">
        <f>E6*H6</f>
        <v>20566.211039999998</v>
      </c>
      <c r="H6" s="4">
        <v>1.02</v>
      </c>
      <c r="I6" t="s">
        <v>367</v>
      </c>
    </row>
    <row r="7" spans="1:10" x14ac:dyDescent="0.25">
      <c r="A7" s="70" t="s">
        <v>220</v>
      </c>
      <c r="B7" s="71">
        <v>18500</v>
      </c>
      <c r="C7" s="83">
        <v>18500</v>
      </c>
      <c r="D7" s="83">
        <v>0</v>
      </c>
      <c r="E7" s="83">
        <v>0</v>
      </c>
      <c r="F7" s="83">
        <v>0</v>
      </c>
    </row>
    <row r="8" spans="1:10" x14ac:dyDescent="0.25">
      <c r="A8" s="70" t="s">
        <v>221</v>
      </c>
      <c r="B8" s="71">
        <f>'Researcher Salary Scales. '!J37</f>
        <v>52055.748930150156</v>
      </c>
      <c r="C8" s="83">
        <f>'Researcher Salary Scales. '!N38</f>
        <v>55125.114576159373</v>
      </c>
      <c r="D8" s="83">
        <f>'Researcher Salary Scales. '!R39</f>
        <v>58394.83664691486</v>
      </c>
      <c r="E8" s="83">
        <v>0</v>
      </c>
      <c r="F8" s="83">
        <v>0</v>
      </c>
      <c r="I8" t="s">
        <v>353</v>
      </c>
      <c r="J8" s="4">
        <v>1.04</v>
      </c>
    </row>
    <row r="9" spans="1:10" x14ac:dyDescent="0.25">
      <c r="A9" s="70" t="s">
        <v>354</v>
      </c>
      <c r="B9" s="71">
        <f>6790*J8</f>
        <v>7061.6</v>
      </c>
      <c r="C9" s="83">
        <f>B9*$J$8</f>
        <v>7344.0640000000003</v>
      </c>
      <c r="D9" s="83">
        <f t="shared" ref="D9:F9" si="0">C9*$J$8</f>
        <v>7637.8265600000004</v>
      </c>
      <c r="E9" s="83">
        <f t="shared" si="0"/>
        <v>7943.3396224000007</v>
      </c>
      <c r="F9" s="83">
        <f t="shared" si="0"/>
        <v>8261.0732072960018</v>
      </c>
    </row>
    <row r="10" spans="1:10" x14ac:dyDescent="0.25">
      <c r="A10" s="70" t="s">
        <v>355</v>
      </c>
      <c r="B10" s="71">
        <f>13080*J8</f>
        <v>13603.2</v>
      </c>
      <c r="C10" s="83">
        <f t="shared" ref="C10:F20" si="1">B10*$J$8</f>
        <v>14147.328000000001</v>
      </c>
      <c r="D10" s="83">
        <f t="shared" si="1"/>
        <v>14713.221120000002</v>
      </c>
      <c r="E10" s="83">
        <f t="shared" si="1"/>
        <v>15301.749964800003</v>
      </c>
      <c r="F10" s="83">
        <f t="shared" si="1"/>
        <v>15913.819963392003</v>
      </c>
    </row>
    <row r="11" spans="1:10" x14ac:dyDescent="0.25">
      <c r="A11" s="70" t="s">
        <v>356</v>
      </c>
      <c r="B11" s="71">
        <f>6790*J8</f>
        <v>7061.6</v>
      </c>
      <c r="C11" s="83">
        <f t="shared" si="1"/>
        <v>7344.0640000000003</v>
      </c>
      <c r="D11" s="83">
        <f t="shared" si="1"/>
        <v>7637.8265600000004</v>
      </c>
      <c r="E11" s="83">
        <f t="shared" si="1"/>
        <v>7943.3396224000007</v>
      </c>
      <c r="F11" s="83">
        <f t="shared" si="1"/>
        <v>8261.0732072960018</v>
      </c>
    </row>
    <row r="12" spans="1:10" x14ac:dyDescent="0.25">
      <c r="A12" s="70" t="s">
        <v>357</v>
      </c>
      <c r="B12" s="71">
        <f>13080*J8</f>
        <v>13603.2</v>
      </c>
      <c r="C12" s="83">
        <f t="shared" si="1"/>
        <v>14147.328000000001</v>
      </c>
      <c r="D12" s="83">
        <f t="shared" si="1"/>
        <v>14713.221120000002</v>
      </c>
      <c r="E12" s="83">
        <f t="shared" si="1"/>
        <v>15301.749964800003</v>
      </c>
      <c r="F12" s="83">
        <f t="shared" si="1"/>
        <v>15913.819963392003</v>
      </c>
    </row>
    <row r="13" spans="1:10" x14ac:dyDescent="0.25">
      <c r="A13" s="70" t="s">
        <v>358</v>
      </c>
      <c r="B13" s="71">
        <f>7640*J8</f>
        <v>7945.6</v>
      </c>
      <c r="C13" s="83">
        <f t="shared" si="1"/>
        <v>8263.4240000000009</v>
      </c>
      <c r="D13" s="83">
        <f t="shared" si="1"/>
        <v>8593.9609600000003</v>
      </c>
      <c r="E13" s="83">
        <f t="shared" si="1"/>
        <v>8937.7193984000005</v>
      </c>
      <c r="F13" s="83">
        <f t="shared" si="1"/>
        <v>9295.2281743359999</v>
      </c>
    </row>
    <row r="14" spans="1:10" x14ac:dyDescent="0.25">
      <c r="A14" s="70" t="s">
        <v>359</v>
      </c>
      <c r="B14" s="71">
        <f>14700*J8</f>
        <v>15288</v>
      </c>
      <c r="C14" s="83">
        <f t="shared" si="1"/>
        <v>15899.52</v>
      </c>
      <c r="D14" s="83">
        <f t="shared" si="1"/>
        <v>16535.500800000002</v>
      </c>
      <c r="E14" s="83">
        <f t="shared" si="1"/>
        <v>17196.920832000003</v>
      </c>
      <c r="F14" s="83">
        <f t="shared" si="1"/>
        <v>17884.797665280003</v>
      </c>
    </row>
    <row r="15" spans="1:10" x14ac:dyDescent="0.25">
      <c r="A15" s="70" t="s">
        <v>360</v>
      </c>
      <c r="B15" s="71">
        <f>7640*J8</f>
        <v>7945.6</v>
      </c>
      <c r="C15" s="83">
        <f t="shared" si="1"/>
        <v>8263.4240000000009</v>
      </c>
      <c r="D15" s="83">
        <f t="shared" si="1"/>
        <v>8593.9609600000003</v>
      </c>
      <c r="E15" s="83">
        <f t="shared" si="1"/>
        <v>8937.7193984000005</v>
      </c>
      <c r="F15" s="83">
        <f t="shared" si="1"/>
        <v>9295.2281743359999</v>
      </c>
    </row>
    <row r="16" spans="1:10" x14ac:dyDescent="0.25">
      <c r="A16" s="70" t="s">
        <v>361</v>
      </c>
      <c r="B16" s="71">
        <f>14700*J8</f>
        <v>15288</v>
      </c>
      <c r="C16" s="83">
        <f t="shared" si="1"/>
        <v>15899.52</v>
      </c>
      <c r="D16" s="83">
        <f t="shared" si="1"/>
        <v>16535.500800000002</v>
      </c>
      <c r="E16" s="83">
        <f t="shared" si="1"/>
        <v>17196.920832000003</v>
      </c>
      <c r="F16" s="83">
        <f t="shared" si="1"/>
        <v>17884.797665280003</v>
      </c>
    </row>
    <row r="17" spans="1:6" x14ac:dyDescent="0.25">
      <c r="A17" s="70" t="s">
        <v>362</v>
      </c>
      <c r="B17" s="71">
        <f>7640*J8</f>
        <v>7945.6</v>
      </c>
      <c r="C17" s="83">
        <f t="shared" si="1"/>
        <v>8263.4240000000009</v>
      </c>
      <c r="D17" s="83">
        <f t="shared" si="1"/>
        <v>8593.9609600000003</v>
      </c>
      <c r="E17" s="83">
        <f t="shared" si="1"/>
        <v>8937.7193984000005</v>
      </c>
      <c r="F17" s="83">
        <f t="shared" si="1"/>
        <v>9295.2281743359999</v>
      </c>
    </row>
    <row r="18" spans="1:6" x14ac:dyDescent="0.25">
      <c r="A18" s="70" t="s">
        <v>363</v>
      </c>
      <c r="B18" s="71">
        <f>14700*J8</f>
        <v>15288</v>
      </c>
      <c r="C18" s="83">
        <f t="shared" si="1"/>
        <v>15899.52</v>
      </c>
      <c r="D18" s="83">
        <f t="shared" si="1"/>
        <v>16535.500800000002</v>
      </c>
      <c r="E18" s="83">
        <f t="shared" si="1"/>
        <v>17196.920832000003</v>
      </c>
      <c r="F18" s="83">
        <f t="shared" si="1"/>
        <v>17884.797665280003</v>
      </c>
    </row>
    <row r="19" spans="1:6" x14ac:dyDescent="0.25">
      <c r="A19" s="70" t="s">
        <v>364</v>
      </c>
      <c r="B19" s="71">
        <f>6790*J8</f>
        <v>7061.6</v>
      </c>
      <c r="C19" s="83">
        <f t="shared" si="1"/>
        <v>7344.0640000000003</v>
      </c>
      <c r="D19" s="83">
        <f t="shared" si="1"/>
        <v>7637.8265600000004</v>
      </c>
      <c r="E19" s="83">
        <f t="shared" si="1"/>
        <v>7943.3396224000007</v>
      </c>
      <c r="F19" s="83">
        <f t="shared" si="1"/>
        <v>8261.0732072960018</v>
      </c>
    </row>
    <row r="20" spans="1:6" x14ac:dyDescent="0.25">
      <c r="A20" s="70" t="s">
        <v>365</v>
      </c>
      <c r="B20" s="71">
        <f>13080*J8</f>
        <v>13603.2</v>
      </c>
      <c r="C20" s="83">
        <f t="shared" si="1"/>
        <v>14147.328000000001</v>
      </c>
      <c r="D20" s="83">
        <f t="shared" si="1"/>
        <v>14713.221120000002</v>
      </c>
      <c r="E20" s="83">
        <f t="shared" si="1"/>
        <v>15301.749964800003</v>
      </c>
      <c r="F20" s="83">
        <f t="shared" si="1"/>
        <v>15913.819963392003</v>
      </c>
    </row>
    <row r="21" spans="1:6" x14ac:dyDescent="0.25">
      <c r="A21" s="70"/>
      <c r="B21" s="71"/>
      <c r="C21" s="83"/>
      <c r="D21" s="83"/>
      <c r="E21" s="83"/>
      <c r="F21" s="83"/>
    </row>
    <row r="25" spans="1:6" x14ac:dyDescent="0.25">
      <c r="A25" s="1" t="s">
        <v>201</v>
      </c>
    </row>
    <row r="26" spans="1:6" x14ac:dyDescent="0.25">
      <c r="A26" t="s">
        <v>202</v>
      </c>
      <c r="B26" s="72" t="s">
        <v>203</v>
      </c>
    </row>
    <row r="27" spans="1:6" x14ac:dyDescent="0.25">
      <c r="A27" t="s">
        <v>204</v>
      </c>
    </row>
    <row r="28" spans="1:6" x14ac:dyDescent="0.25">
      <c r="A28" t="s">
        <v>205</v>
      </c>
    </row>
    <row r="29" spans="1:6" x14ac:dyDescent="0.25">
      <c r="A29" t="s">
        <v>207</v>
      </c>
    </row>
    <row r="30" spans="1:6" ht="75" customHeight="1" x14ac:dyDescent="0.25">
      <c r="A30" s="496" t="s">
        <v>222</v>
      </c>
      <c r="B30" s="496"/>
      <c r="C30" s="496"/>
      <c r="D30" s="496"/>
      <c r="E30" s="496"/>
      <c r="F30" s="496"/>
    </row>
    <row r="35" spans="1:1" x14ac:dyDescent="0.25">
      <c r="A35" s="209" t="s">
        <v>366</v>
      </c>
    </row>
    <row r="36" spans="1:1" x14ac:dyDescent="0.25">
      <c r="A36" s="209" t="s">
        <v>354</v>
      </c>
    </row>
    <row r="37" spans="1:1" x14ac:dyDescent="0.25">
      <c r="A37" s="209" t="s">
        <v>355</v>
      </c>
    </row>
    <row r="38" spans="1:1" x14ac:dyDescent="0.25">
      <c r="A38" s="209" t="s">
        <v>356</v>
      </c>
    </row>
    <row r="39" spans="1:1" x14ac:dyDescent="0.25">
      <c r="A39" s="209" t="s">
        <v>357</v>
      </c>
    </row>
    <row r="40" spans="1:1" x14ac:dyDescent="0.25">
      <c r="A40" s="209" t="s">
        <v>358</v>
      </c>
    </row>
    <row r="41" spans="1:1" x14ac:dyDescent="0.25">
      <c r="A41" s="209" t="s">
        <v>359</v>
      </c>
    </row>
    <row r="42" spans="1:1" x14ac:dyDescent="0.25">
      <c r="A42" s="209" t="s">
        <v>360</v>
      </c>
    </row>
    <row r="43" spans="1:1" x14ac:dyDescent="0.25">
      <c r="A43" s="209" t="s">
        <v>361</v>
      </c>
    </row>
    <row r="44" spans="1:1" x14ac:dyDescent="0.25">
      <c r="A44" s="209" t="s">
        <v>362</v>
      </c>
    </row>
    <row r="45" spans="1:1" x14ac:dyDescent="0.25">
      <c r="A45" s="209" t="s">
        <v>363</v>
      </c>
    </row>
    <row r="46" spans="1:1" x14ac:dyDescent="0.25">
      <c r="A46" s="209" t="s">
        <v>364</v>
      </c>
    </row>
    <row r="47" spans="1:1" x14ac:dyDescent="0.25">
      <c r="A47" s="209" t="s">
        <v>365</v>
      </c>
    </row>
    <row r="50" spans="1:1" x14ac:dyDescent="0.25">
      <c r="A50" t="s">
        <v>369</v>
      </c>
    </row>
    <row r="51" spans="1:1" x14ac:dyDescent="0.25">
      <c r="A51" t="s">
        <v>368</v>
      </c>
    </row>
    <row r="52" spans="1:1" x14ac:dyDescent="0.25">
      <c r="A52" t="s">
        <v>183</v>
      </c>
    </row>
  </sheetData>
  <mergeCells count="1">
    <mergeCell ref="A30:F30"/>
  </mergeCells>
  <hyperlinks>
    <hyperlink ref="B26" r:id="rId1" xr:uid="{430C9683-806B-464C-A3FA-AC2BB22828C7}"/>
  </hyperlinks>
  <pageMargins left="0.7" right="0.7" top="0.75" bottom="0.75" header="0.3" footer="0.3"/>
  <pageSetup paperSize="9" orientation="portrait" horizontalDpi="4294967293" verticalDpi="0" r:id="rId2"/>
  <tableParts count="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0D12-4DB8-410E-906D-F107E2A195E7}">
  <dimension ref="A2:K28"/>
  <sheetViews>
    <sheetView workbookViewId="0">
      <selection activeCell="C32" sqref="C32"/>
    </sheetView>
  </sheetViews>
  <sheetFormatPr defaultRowHeight="15" x14ac:dyDescent="0.25"/>
  <cols>
    <col min="1" max="1" width="12" bestFit="1" customWidth="1"/>
    <col min="2" max="2" width="26.140625" bestFit="1" customWidth="1"/>
    <col min="3" max="3" width="43.28515625" bestFit="1" customWidth="1"/>
    <col min="4" max="4" width="12.7109375" style="256" bestFit="1" customWidth="1"/>
    <col min="5" max="5" width="11.28515625" bestFit="1" customWidth="1"/>
    <col min="6" max="9" width="10.5703125" bestFit="1" customWidth="1"/>
    <col min="10" max="10" width="10.28515625" bestFit="1" customWidth="1"/>
  </cols>
  <sheetData>
    <row r="2" spans="1:11" x14ac:dyDescent="0.25">
      <c r="A2" s="311" t="s">
        <v>443</v>
      </c>
      <c r="B2" s="310" t="s">
        <v>499</v>
      </c>
      <c r="C2" s="310" t="s">
        <v>485</v>
      </c>
      <c r="D2" s="284"/>
      <c r="E2" s="261" t="s">
        <v>109</v>
      </c>
      <c r="F2" s="261" t="s">
        <v>110</v>
      </c>
      <c r="G2" s="261" t="s">
        <v>111</v>
      </c>
      <c r="H2" s="261" t="s">
        <v>112</v>
      </c>
      <c r="I2" s="261" t="s">
        <v>194</v>
      </c>
    </row>
    <row r="3" spans="1:11" x14ac:dyDescent="0.25">
      <c r="A3" s="262">
        <v>92980</v>
      </c>
      <c r="B3" s="263" t="s">
        <v>444</v>
      </c>
      <c r="C3" s="309" t="s">
        <v>486</v>
      </c>
      <c r="D3" s="285">
        <f t="shared" ref="D3:D16" si="0">SUM(E3:I3)</f>
        <v>0</v>
      </c>
      <c r="E3" s="264">
        <f>'Step 1A - OLD'!B57</f>
        <v>0</v>
      </c>
      <c r="F3" s="264">
        <f>'Step 1A - OLD'!F64</f>
        <v>0</v>
      </c>
      <c r="G3" s="264">
        <f>'Step 1A - OLD'!F71</f>
        <v>0</v>
      </c>
      <c r="H3" s="264">
        <f>'Step 1A - OLD'!F79</f>
        <v>0</v>
      </c>
      <c r="I3" s="264">
        <f>'Step 1A - OLD'!F87</f>
        <v>0</v>
      </c>
    </row>
    <row r="4" spans="1:11" x14ac:dyDescent="0.25">
      <c r="A4" s="262">
        <v>91999</v>
      </c>
      <c r="B4" s="265" t="s">
        <v>445</v>
      </c>
      <c r="C4" s="309" t="s">
        <v>487</v>
      </c>
      <c r="D4" s="285" t="e">
        <f t="shared" si="0"/>
        <v>#VALUE!</v>
      </c>
      <c r="E4" s="264" t="e">
        <f>'Step 1A - OLD'!D56+'1B. OLD'!D57+'Step 1A.'!D103+'1B. '!D66</f>
        <v>#VALUE!</v>
      </c>
      <c r="F4" s="264" t="e">
        <f>'Step 1A - OLD'!D63+'1B. OLD'!D64+'Step 1A.'!D108+'1B. '!D73</f>
        <v>#VALUE!</v>
      </c>
      <c r="G4" s="264" t="e">
        <f>'Step 1A - OLD'!D70+'1B. OLD'!D71+'Step 1A.'!D114+'1B. '!D80</f>
        <v>#VALUE!</v>
      </c>
      <c r="H4" s="264" t="e">
        <f>'Step 1A - OLD'!D78+'1B. OLD'!D79+'Step 1A.'!D120+'1B. '!D88</f>
        <v>#VALUE!</v>
      </c>
      <c r="I4" s="264">
        <f>'Step 1A - OLD'!D86+'1B. OLD'!D87+'Step 1A.'!D127+'1B. '!D96</f>
        <v>0</v>
      </c>
      <c r="K4" s="288" t="s">
        <v>191</v>
      </c>
    </row>
    <row r="5" spans="1:11" x14ac:dyDescent="0.25">
      <c r="A5" s="312">
        <v>91509</v>
      </c>
      <c r="B5" s="265" t="s">
        <v>484</v>
      </c>
      <c r="C5" s="309" t="s">
        <v>488</v>
      </c>
      <c r="D5" s="285" t="e">
        <f>SUM(E5:I5)</f>
        <v>#VALUE!</v>
      </c>
      <c r="E5" s="264" t="e">
        <f>+'Step 1A - OLD'!C58+'1B. OLD'!C59+'Step 1A.'!C103+'1B. '!C66</f>
        <v>#VALUE!</v>
      </c>
      <c r="F5" s="264" t="e">
        <f>+'Step 1A - OLD'!C63+'1B. OLD'!C64+'Step 1A.'!C109+'1B. '!C73</f>
        <v>#VALUE!</v>
      </c>
      <c r="G5" s="264" t="e">
        <f>'Step 1A - OLD'!C72+'1B. OLD'!C71+'Step 1A.'!C114+'1B. '!C80</f>
        <v>#VALUE!</v>
      </c>
      <c r="H5" s="264" t="e">
        <f>'Step 1A - OLD'!C80+'1B. OLD'!C79+'Step 1A.'!C120+'1B. '!C88</f>
        <v>#VALUE!</v>
      </c>
      <c r="I5" s="264">
        <f>'Step 1A - OLD'!C86+'1B. OLD'!C89+'Step 1A.'!C128+'1B. '!C98</f>
        <v>0</v>
      </c>
      <c r="K5" t="s">
        <v>191</v>
      </c>
    </row>
    <row r="6" spans="1:11" x14ac:dyDescent="0.25">
      <c r="A6" s="262">
        <v>91997</v>
      </c>
      <c r="B6" s="265" t="s">
        <v>446</v>
      </c>
      <c r="C6" s="309" t="s">
        <v>489</v>
      </c>
      <c r="D6" s="285" t="e">
        <f t="shared" si="0"/>
        <v>#VALUE!</v>
      </c>
      <c r="E6" s="264" t="e">
        <f>'Step 1A - OLD'!E58+'1B. OLD'!E57+'Step 1A.'!E103+'1B. '!E66</f>
        <v>#VALUE!</v>
      </c>
      <c r="F6" s="264" t="e">
        <f>'Step 1A - OLD'!E63+'1B. OLD'!E64+'Step 1A.'!E109+'1B. '!E73</f>
        <v>#VALUE!</v>
      </c>
      <c r="G6" s="264" t="e">
        <f>'Step 1A - OLD'!E70+'1B. OLD'!E71+'Step 1A.'!E114+'1B. '!E80</f>
        <v>#VALUE!</v>
      </c>
      <c r="H6" s="264" t="e">
        <f>'Step 1A - OLD'!E78+'1B. OLD'!E79+'Step 1A.'!E120+'1B. '!E88</f>
        <v>#VALUE!</v>
      </c>
      <c r="I6" s="264">
        <f>'Step 1A - OLD'!E86+'1B. OLD'!E87+'Step 1A.'!E127+'1B. '!E96</f>
        <v>0</v>
      </c>
    </row>
    <row r="7" spans="1:11" x14ac:dyDescent="0.25">
      <c r="A7" s="262">
        <v>92056</v>
      </c>
      <c r="B7" s="265" t="s">
        <v>447</v>
      </c>
      <c r="C7" s="309" t="s">
        <v>490</v>
      </c>
      <c r="D7" s="285">
        <f t="shared" si="0"/>
        <v>0</v>
      </c>
      <c r="E7" s="264">
        <f>'Step 1A.'!G103</f>
        <v>0</v>
      </c>
      <c r="F7" s="264">
        <f>'Step 1A.'!G107</f>
        <v>0</v>
      </c>
      <c r="G7" s="264">
        <f>'Step 1A.'!G113</f>
        <v>0</v>
      </c>
      <c r="H7" s="264">
        <f>'Step 1A.'!G119</f>
        <v>0</v>
      </c>
      <c r="I7" s="264">
        <f>'Step 1A.'!G128</f>
        <v>0</v>
      </c>
    </row>
    <row r="8" spans="1:11" x14ac:dyDescent="0.25">
      <c r="A8" s="262">
        <v>92093</v>
      </c>
      <c r="B8" s="265" t="s">
        <v>448</v>
      </c>
      <c r="C8" s="309" t="s">
        <v>491</v>
      </c>
      <c r="D8" s="285">
        <f t="shared" si="0"/>
        <v>0</v>
      </c>
      <c r="E8" s="264">
        <f>'Step 1A.'!F103</f>
        <v>0</v>
      </c>
      <c r="F8" s="264">
        <f>'Step 1A.'!F107</f>
        <v>0</v>
      </c>
      <c r="G8" s="264">
        <f>'Step 1A.'!F113</f>
        <v>0</v>
      </c>
      <c r="H8" s="264">
        <f>'Step 1A.'!F119</f>
        <v>0</v>
      </c>
      <c r="I8" s="264">
        <f>'Step 1A.'!F126</f>
        <v>0</v>
      </c>
    </row>
    <row r="9" spans="1:11" x14ac:dyDescent="0.25">
      <c r="A9" s="262">
        <v>92299</v>
      </c>
      <c r="B9" s="265" t="s">
        <v>449</v>
      </c>
      <c r="C9" s="309" t="s">
        <v>492</v>
      </c>
      <c r="D9" s="285" t="e">
        <f t="shared" si="0"/>
        <v>#REF!</v>
      </c>
      <c r="E9" s="264" t="e">
        <f>#REF!</f>
        <v>#REF!</v>
      </c>
      <c r="F9" s="264" t="e">
        <f>#REF!</f>
        <v>#REF!</v>
      </c>
      <c r="G9" s="264" t="e">
        <f>#REF!</f>
        <v>#REF!</v>
      </c>
      <c r="H9" s="264" t="e">
        <f>#REF!</f>
        <v>#REF!</v>
      </c>
      <c r="I9" s="264" t="e">
        <f>#REF!</f>
        <v>#REF!</v>
      </c>
    </row>
    <row r="10" spans="1:11" x14ac:dyDescent="0.25">
      <c r="A10" s="262">
        <v>92499</v>
      </c>
      <c r="B10" s="265" t="s">
        <v>450</v>
      </c>
      <c r="C10" s="309" t="s">
        <v>493</v>
      </c>
      <c r="D10" s="285" t="e">
        <f t="shared" si="0"/>
        <v>#REF!</v>
      </c>
      <c r="E10" s="264" t="e">
        <f>#REF!</f>
        <v>#REF!</v>
      </c>
      <c r="F10" s="264" t="e">
        <f>#REF!</f>
        <v>#REF!</v>
      </c>
      <c r="G10" s="264" t="e">
        <f>#REF!</f>
        <v>#REF!</v>
      </c>
      <c r="H10" s="264" t="e">
        <f>#REF!</f>
        <v>#REF!</v>
      </c>
      <c r="I10" s="264" t="e">
        <f>#REF!</f>
        <v>#REF!</v>
      </c>
    </row>
    <row r="11" spans="1:11" x14ac:dyDescent="0.25">
      <c r="A11" s="262">
        <v>92199</v>
      </c>
      <c r="B11" s="265" t="s">
        <v>451</v>
      </c>
      <c r="C11" s="309" t="s">
        <v>451</v>
      </c>
      <c r="D11" s="285" t="e">
        <f t="shared" si="0"/>
        <v>#REF!</v>
      </c>
      <c r="E11" s="264" t="e">
        <f>#REF!</f>
        <v>#REF!</v>
      </c>
      <c r="F11" s="264" t="e">
        <f>#REF!</f>
        <v>#REF!</v>
      </c>
      <c r="G11" s="264" t="e">
        <f>#REF!</f>
        <v>#REF!</v>
      </c>
      <c r="H11" s="264" t="e">
        <f>#REF!</f>
        <v>#REF!</v>
      </c>
      <c r="I11" s="264" t="e">
        <f>#REF!</f>
        <v>#REF!</v>
      </c>
    </row>
    <row r="12" spans="1:11" x14ac:dyDescent="0.25">
      <c r="A12" s="262">
        <v>92699</v>
      </c>
      <c r="B12" s="265" t="s">
        <v>240</v>
      </c>
      <c r="C12" s="309" t="s">
        <v>240</v>
      </c>
      <c r="D12" s="285" t="e">
        <f t="shared" si="0"/>
        <v>#REF!</v>
      </c>
      <c r="E12" s="264" t="e">
        <f>#REF!</f>
        <v>#REF!</v>
      </c>
      <c r="F12" s="264" t="e">
        <f>#REF!</f>
        <v>#REF!</v>
      </c>
      <c r="G12" s="264" t="e">
        <f>#REF!</f>
        <v>#REF!</v>
      </c>
      <c r="H12" s="264" t="e">
        <f>#REF!</f>
        <v>#REF!</v>
      </c>
      <c r="I12" s="264" t="e">
        <f>#REF!</f>
        <v>#REF!</v>
      </c>
    </row>
    <row r="13" spans="1:11" x14ac:dyDescent="0.25">
      <c r="A13" s="262">
        <v>92399</v>
      </c>
      <c r="B13" s="265" t="s">
        <v>452</v>
      </c>
      <c r="C13" s="309" t="s">
        <v>494</v>
      </c>
      <c r="D13" s="285" t="e">
        <f t="shared" si="0"/>
        <v>#REF!</v>
      </c>
      <c r="E13" s="264" t="e">
        <f>#REF!</f>
        <v>#REF!</v>
      </c>
      <c r="F13" s="264" t="e">
        <f>#REF!</f>
        <v>#REF!</v>
      </c>
      <c r="G13" s="264" t="e">
        <f>#REF!</f>
        <v>#REF!</v>
      </c>
      <c r="H13" s="264" t="e">
        <f>#REF!</f>
        <v>#REF!</v>
      </c>
      <c r="I13" s="264" t="e">
        <f>#REF!</f>
        <v>#REF!</v>
      </c>
    </row>
    <row r="14" spans="1:11" x14ac:dyDescent="0.25">
      <c r="A14" s="262">
        <v>92915</v>
      </c>
      <c r="B14" s="265" t="s">
        <v>453</v>
      </c>
      <c r="C14" s="309" t="s">
        <v>495</v>
      </c>
      <c r="D14" s="285">
        <f t="shared" si="0"/>
        <v>0</v>
      </c>
      <c r="E14" s="264"/>
      <c r="F14" s="264"/>
      <c r="G14" s="264"/>
      <c r="H14" s="264"/>
      <c r="I14" s="264"/>
    </row>
    <row r="15" spans="1:11" x14ac:dyDescent="0.25">
      <c r="A15" s="262">
        <v>92998</v>
      </c>
      <c r="B15" s="265" t="s">
        <v>454</v>
      </c>
      <c r="C15" s="309" t="s">
        <v>496</v>
      </c>
      <c r="D15" s="285" t="e">
        <f t="shared" si="0"/>
        <v>#REF!</v>
      </c>
      <c r="E15" s="264" t="e">
        <f>#REF!</f>
        <v>#REF!</v>
      </c>
      <c r="F15" s="264" t="e">
        <f>#REF!</f>
        <v>#REF!</v>
      </c>
      <c r="G15" s="264" t="e">
        <f>#REF!</f>
        <v>#REF!</v>
      </c>
      <c r="H15" s="264" t="e">
        <f>#REF!</f>
        <v>#REF!</v>
      </c>
      <c r="I15" s="264" t="e">
        <f>#REF!</f>
        <v>#REF!</v>
      </c>
    </row>
    <row r="16" spans="1:11" x14ac:dyDescent="0.25">
      <c r="A16" s="262">
        <v>92900</v>
      </c>
      <c r="B16" s="265" t="s">
        <v>264</v>
      </c>
      <c r="C16" s="309" t="s">
        <v>497</v>
      </c>
      <c r="D16" s="285" t="e">
        <f t="shared" si="0"/>
        <v>#REF!</v>
      </c>
      <c r="E16" s="264">
        <f>'Project Budget EURO'!B18</f>
        <v>0</v>
      </c>
      <c r="F16" s="264">
        <f>'Project Budget EURO'!C18</f>
        <v>0</v>
      </c>
      <c r="G16" s="264">
        <f>'Project Budget EURO'!E18</f>
        <v>0</v>
      </c>
      <c r="H16" s="264" t="e">
        <f>'Project Budget EURO'!#REF!</f>
        <v>#REF!</v>
      </c>
      <c r="I16" s="264" t="e">
        <f>'Project Budget EURO'!#REF!</f>
        <v>#REF!</v>
      </c>
    </row>
    <row r="17" spans="1:10" ht="15.75" thickBot="1" x14ac:dyDescent="0.3">
      <c r="A17" s="262">
        <v>92912</v>
      </c>
      <c r="B17" s="265" t="s">
        <v>455</v>
      </c>
      <c r="C17" s="309" t="s">
        <v>498</v>
      </c>
      <c r="D17" s="285"/>
      <c r="E17" s="264">
        <f t="shared" ref="E17" si="1">D17/5</f>
        <v>0</v>
      </c>
      <c r="F17" s="264">
        <f t="shared" ref="F17" si="2">D17/5</f>
        <v>0</v>
      </c>
      <c r="G17" s="264">
        <f t="shared" ref="G17" si="3">D17/5</f>
        <v>0</v>
      </c>
      <c r="H17" s="264">
        <f t="shared" ref="H17" si="4">D17/5</f>
        <v>0</v>
      </c>
      <c r="I17" s="264">
        <f t="shared" ref="I17" si="5">D17/5</f>
        <v>0</v>
      </c>
    </row>
    <row r="18" spans="1:10" ht="15.75" thickBot="1" x14ac:dyDescent="0.3">
      <c r="A18" s="497" t="s">
        <v>456</v>
      </c>
      <c r="B18" s="301" t="s">
        <v>457</v>
      </c>
      <c r="C18" s="301"/>
      <c r="D18" s="302" t="e">
        <f>SUM(D3:D17)</f>
        <v>#VALUE!</v>
      </c>
      <c r="E18" s="303" t="e">
        <f>SUM(E3:E17)</f>
        <v>#VALUE!</v>
      </c>
      <c r="F18" s="303" t="e">
        <f t="shared" ref="F18:I18" si="6">SUM(F3:F17)</f>
        <v>#VALUE!</v>
      </c>
      <c r="G18" s="303" t="e">
        <f t="shared" si="6"/>
        <v>#VALUE!</v>
      </c>
      <c r="H18" s="303" t="e">
        <f t="shared" si="6"/>
        <v>#VALUE!</v>
      </c>
      <c r="I18" s="303" t="e">
        <f t="shared" si="6"/>
        <v>#REF!</v>
      </c>
    </row>
    <row r="19" spans="1:10" ht="15.75" thickBot="1" x14ac:dyDescent="0.3">
      <c r="A19" s="498"/>
      <c r="B19" s="304" t="s">
        <v>458</v>
      </c>
      <c r="C19" s="304"/>
      <c r="D19" s="305">
        <f>'Project Budget EURO'!F19</f>
        <v>0</v>
      </c>
      <c r="E19" s="303">
        <f>'Project Budget EURO'!B19</f>
        <v>0</v>
      </c>
      <c r="F19" s="303">
        <f>'Project Budget EURO'!C19</f>
        <v>0</v>
      </c>
      <c r="G19" s="303">
        <f>'Project Budget EURO'!E19</f>
        <v>0</v>
      </c>
      <c r="H19" s="303" t="e">
        <f>'Project Budget EURO'!#REF!</f>
        <v>#REF!</v>
      </c>
      <c r="I19" s="303" t="e">
        <f>'Project Budget EURO'!#REF!</f>
        <v>#REF!</v>
      </c>
    </row>
    <row r="20" spans="1:10" ht="15.75" thickBot="1" x14ac:dyDescent="0.3">
      <c r="A20" s="499"/>
      <c r="B20" s="306" t="s">
        <v>459</v>
      </c>
      <c r="C20" s="306"/>
      <c r="D20" s="307" t="e">
        <f>D18-D19</f>
        <v>#VALUE!</v>
      </c>
      <c r="E20" s="307" t="e">
        <f t="shared" ref="E20:I20" si="7">E18-E19</f>
        <v>#VALUE!</v>
      </c>
      <c r="F20" s="307" t="e">
        <f t="shared" si="7"/>
        <v>#VALUE!</v>
      </c>
      <c r="G20" s="307" t="e">
        <f t="shared" si="7"/>
        <v>#VALUE!</v>
      </c>
      <c r="H20" s="307" t="e">
        <f t="shared" si="7"/>
        <v>#VALUE!</v>
      </c>
      <c r="I20" s="307" t="e">
        <f t="shared" si="7"/>
        <v>#REF!</v>
      </c>
    </row>
    <row r="22" spans="1:10" hidden="1" x14ac:dyDescent="0.25">
      <c r="B22" s="229" t="s">
        <v>477</v>
      </c>
      <c r="C22" s="229"/>
      <c r="D22" s="256" t="e">
        <f>(D3+D4+D6+D7+D8)-'Project Budget EURO'!#REF!</f>
        <v>#VALUE!</v>
      </c>
      <c r="E22" s="288" t="e">
        <f>SUM(E3:E8)-'Project Budget EURO'!#REF!</f>
        <v>#VALUE!</v>
      </c>
      <c r="F22" s="288" t="e">
        <f>SUM(F3:F8)-'Project Budget EURO'!#REF!</f>
        <v>#VALUE!</v>
      </c>
      <c r="G22" s="288" t="e">
        <f>SUM(G3:G8)-'Project Budget EURO'!#REF!</f>
        <v>#VALUE!</v>
      </c>
      <c r="H22" s="288" t="e">
        <f>SUM(H3:H8)-'Project Budget EURO'!#REF!</f>
        <v>#VALUE!</v>
      </c>
      <c r="I22" s="288" t="e">
        <f>SUM(I3:I8)-'Project Budget EURO'!#REF!</f>
        <v>#REF!</v>
      </c>
      <c r="J22" s="288"/>
    </row>
    <row r="23" spans="1:10" hidden="1" x14ac:dyDescent="0.25"/>
    <row r="24" spans="1:10" hidden="1" x14ac:dyDescent="0.25">
      <c r="B24" t="s">
        <v>479</v>
      </c>
      <c r="D24" s="256" t="e">
        <f>(D10+D11+D15)-'Project Budget EURO'!F16</f>
        <v>#REF!</v>
      </c>
      <c r="E24" s="256" t="e">
        <f>(E10+E11+E15)-'Project Budget EURO'!B16</f>
        <v>#REF!</v>
      </c>
      <c r="F24" s="256" t="e">
        <f>(F10+F11+F15)-'Project Budget EURO'!C16</f>
        <v>#REF!</v>
      </c>
      <c r="G24" s="256" t="e">
        <f>(G10+G11+G15)-'Project Budget EURO'!E16</f>
        <v>#REF!</v>
      </c>
      <c r="H24" s="256" t="e">
        <f>(H10+H11+H15)-'Project Budget EURO'!#REF!</f>
        <v>#REF!</v>
      </c>
      <c r="I24" s="256" t="e">
        <f>(I10+I11+I15)-'Project Budget EURO'!#REF!</f>
        <v>#REF!</v>
      </c>
    </row>
    <row r="25" spans="1:10" hidden="1" x14ac:dyDescent="0.25">
      <c r="B25" t="s">
        <v>481</v>
      </c>
      <c r="D25" s="256" t="e">
        <f>D12-'Project Budget EURO'!F14</f>
        <v>#REF!</v>
      </c>
      <c r="E25" s="288" t="e">
        <f>E12-'Project Budget EURO'!B14</f>
        <v>#REF!</v>
      </c>
      <c r="F25" s="288" t="e">
        <f>F12-'Project Budget EURO'!C14</f>
        <v>#REF!</v>
      </c>
      <c r="G25" s="288" t="e">
        <f>G12-'Project Budget EURO'!E14</f>
        <v>#REF!</v>
      </c>
      <c r="H25" s="288" t="e">
        <f>H12-'Project Budget EURO'!#REF!</f>
        <v>#REF!</v>
      </c>
      <c r="I25" s="288" t="e">
        <f>I12-'Project Budget EURO'!#REF!</f>
        <v>#REF!</v>
      </c>
    </row>
    <row r="26" spans="1:10" hidden="1" x14ac:dyDescent="0.25"/>
    <row r="27" spans="1:10" hidden="1" x14ac:dyDescent="0.25">
      <c r="B27" t="s">
        <v>482</v>
      </c>
      <c r="D27" s="256" t="e">
        <f>SUM(D3:D17)-'Project Budget EURO'!F19</f>
        <v>#VALUE!</v>
      </c>
      <c r="E27" s="288" t="e">
        <f>SUM(E3:E16)-'Project Budget EURO'!B19</f>
        <v>#VALUE!</v>
      </c>
      <c r="F27" s="288" t="e">
        <f>SUM(F3:F16)-'Project Budget EURO'!C19</f>
        <v>#VALUE!</v>
      </c>
      <c r="G27" s="288" t="e">
        <f>SUM(G3:G16)-'Project Budget EURO'!E19</f>
        <v>#VALUE!</v>
      </c>
      <c r="H27" s="288" t="e">
        <f>SUM(H3:H16)-'Project Budget EURO'!#REF!</f>
        <v>#VALUE!</v>
      </c>
      <c r="I27" s="288" t="e">
        <f>SUM(I3:I16)-'Project Budget EURO'!#REF!</f>
        <v>#REF!</v>
      </c>
    </row>
    <row r="28" spans="1:10" hidden="1" x14ac:dyDescent="0.25"/>
  </sheetData>
  <sheetProtection algorithmName="SHA-512" hashValue="ZSqfVY3sOMGpMp9Q6LKfr9/ck0q7+OnpP3346gj3SNQhd4adf0W530WqJ7L6N/DEivFVsWDI//HmZkRJKabxPw==" saltValue="XCnQQ4cdKtn7P4nuAB1r4g==" spinCount="100000" sheet="1" objects="1" scenarios="1"/>
  <mergeCells count="1">
    <mergeCell ref="A18:A20"/>
  </mergeCells>
  <pageMargins left="0.7" right="0.7"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259B-7B65-4E16-B7C8-9FA92153768C}">
  <sheetPr codeName="Sheet13"/>
  <dimension ref="A1:K212"/>
  <sheetViews>
    <sheetView topLeftCell="A129" workbookViewId="0">
      <selection activeCell="A145" sqref="A145"/>
    </sheetView>
  </sheetViews>
  <sheetFormatPr defaultRowHeight="15" x14ac:dyDescent="0.25"/>
  <cols>
    <col min="1" max="1" width="46.5703125" customWidth="1"/>
    <col min="3" max="3" width="51.140625" bestFit="1" customWidth="1"/>
    <col min="5" max="5" width="49" customWidth="1"/>
    <col min="7" max="7" width="42" customWidth="1"/>
    <col min="10" max="10" width="16.5703125" bestFit="1" customWidth="1"/>
  </cols>
  <sheetData>
    <row r="1" spans="1:7" x14ac:dyDescent="0.25">
      <c r="A1" t="s">
        <v>108</v>
      </c>
    </row>
    <row r="2" spans="1:7" x14ac:dyDescent="0.25">
      <c r="A2" t="s">
        <v>106</v>
      </c>
      <c r="G2" s="52" t="s">
        <v>161</v>
      </c>
    </row>
    <row r="3" spans="1:7" x14ac:dyDescent="0.25">
      <c r="A3" t="s">
        <v>107</v>
      </c>
      <c r="G3" s="52" t="s">
        <v>148</v>
      </c>
    </row>
    <row r="4" spans="1:7" x14ac:dyDescent="0.25">
      <c r="C4" s="47" t="s">
        <v>122</v>
      </c>
      <c r="E4" s="4" t="s">
        <v>123</v>
      </c>
      <c r="G4" t="s">
        <v>126</v>
      </c>
    </row>
    <row r="5" spans="1:7" x14ac:dyDescent="0.25">
      <c r="C5" s="24" t="s">
        <v>56</v>
      </c>
      <c r="E5" s="4">
        <v>0.25</v>
      </c>
      <c r="G5" t="s">
        <v>127</v>
      </c>
    </row>
    <row r="6" spans="1:7" x14ac:dyDescent="0.25">
      <c r="A6" t="s">
        <v>122</v>
      </c>
      <c r="C6" s="24" t="s">
        <v>61</v>
      </c>
      <c r="E6" s="4">
        <v>0.3</v>
      </c>
      <c r="G6" t="s">
        <v>128</v>
      </c>
    </row>
    <row r="7" spans="1:7" ht="15.75" thickBot="1" x14ac:dyDescent="0.3">
      <c r="A7" t="s">
        <v>113</v>
      </c>
      <c r="C7" s="24" t="s">
        <v>57</v>
      </c>
      <c r="E7" s="4">
        <v>0.35</v>
      </c>
      <c r="G7" t="s">
        <v>129</v>
      </c>
    </row>
    <row r="8" spans="1:7" x14ac:dyDescent="0.25">
      <c r="A8" s="26" t="s">
        <v>84</v>
      </c>
      <c r="C8" s="24" t="s">
        <v>58</v>
      </c>
      <c r="E8" s="4">
        <v>0.4</v>
      </c>
      <c r="G8" t="s">
        <v>130</v>
      </c>
    </row>
    <row r="9" spans="1:7" x14ac:dyDescent="0.25">
      <c r="A9" s="24" t="s">
        <v>85</v>
      </c>
      <c r="C9" s="24" t="s">
        <v>59</v>
      </c>
      <c r="E9" s="4">
        <v>0.45</v>
      </c>
      <c r="G9" t="s">
        <v>131</v>
      </c>
    </row>
    <row r="10" spans="1:7" x14ac:dyDescent="0.25">
      <c r="A10" s="24" t="s">
        <v>86</v>
      </c>
      <c r="C10" s="24" t="s">
        <v>62</v>
      </c>
      <c r="E10" s="4">
        <v>0.5</v>
      </c>
      <c r="G10" t="s">
        <v>132</v>
      </c>
    </row>
    <row r="11" spans="1:7" ht="15.75" thickBot="1" x14ac:dyDescent="0.3">
      <c r="A11" s="24" t="s">
        <v>87</v>
      </c>
      <c r="C11" s="25" t="s">
        <v>60</v>
      </c>
      <c r="G11" t="s">
        <v>133</v>
      </c>
    </row>
    <row r="12" spans="1:7" x14ac:dyDescent="0.25">
      <c r="A12" s="24" t="s">
        <v>88</v>
      </c>
      <c r="G12" t="s">
        <v>134</v>
      </c>
    </row>
    <row r="13" spans="1:7" x14ac:dyDescent="0.25">
      <c r="A13" s="24" t="s">
        <v>89</v>
      </c>
      <c r="E13" t="s">
        <v>208</v>
      </c>
    </row>
    <row r="14" spans="1:7" x14ac:dyDescent="0.25">
      <c r="A14" s="24" t="s">
        <v>90</v>
      </c>
      <c r="E14" s="4" t="s">
        <v>113</v>
      </c>
    </row>
    <row r="15" spans="1:7" x14ac:dyDescent="0.25">
      <c r="A15" s="24" t="s">
        <v>91</v>
      </c>
      <c r="E15" s="4">
        <v>1</v>
      </c>
      <c r="G15" s="52" t="s">
        <v>162</v>
      </c>
    </row>
    <row r="16" spans="1:7" x14ac:dyDescent="0.25">
      <c r="A16" s="24" t="s">
        <v>92</v>
      </c>
      <c r="E16" s="4">
        <v>0.8</v>
      </c>
      <c r="G16" t="s">
        <v>149</v>
      </c>
    </row>
    <row r="17" spans="1:7" x14ac:dyDescent="0.25">
      <c r="A17" s="24" t="s">
        <v>93</v>
      </c>
      <c r="E17" s="4">
        <v>0.6</v>
      </c>
      <c r="G17" t="s">
        <v>150</v>
      </c>
    </row>
    <row r="18" spans="1:7" x14ac:dyDescent="0.25">
      <c r="A18" s="24" t="s">
        <v>94</v>
      </c>
      <c r="E18" s="4">
        <v>0.5</v>
      </c>
      <c r="G18" t="s">
        <v>151</v>
      </c>
    </row>
    <row r="19" spans="1:7" x14ac:dyDescent="0.25">
      <c r="A19" s="24" t="s">
        <v>95</v>
      </c>
      <c r="E19" s="30">
        <v>0.4</v>
      </c>
      <c r="G19" t="s">
        <v>152</v>
      </c>
    </row>
    <row r="20" spans="1:7" ht="15.75" thickBot="1" x14ac:dyDescent="0.3">
      <c r="A20" s="25" t="s">
        <v>96</v>
      </c>
      <c r="E20" s="73">
        <v>0.25</v>
      </c>
      <c r="G20" t="s">
        <v>153</v>
      </c>
    </row>
    <row r="21" spans="1:7" x14ac:dyDescent="0.25">
      <c r="A21" s="26" t="s">
        <v>209</v>
      </c>
      <c r="E21" s="73">
        <v>0.2</v>
      </c>
      <c r="G21" t="s">
        <v>154</v>
      </c>
    </row>
    <row r="22" spans="1:7" x14ac:dyDescent="0.25">
      <c r="A22" s="24" t="s">
        <v>210</v>
      </c>
      <c r="G22" t="s">
        <v>155</v>
      </c>
    </row>
    <row r="23" spans="1:7" x14ac:dyDescent="0.25">
      <c r="A23" s="24" t="s">
        <v>211</v>
      </c>
      <c r="E23" t="s">
        <v>120</v>
      </c>
      <c r="G23" t="s">
        <v>134</v>
      </c>
    </row>
    <row r="24" spans="1:7" x14ac:dyDescent="0.25">
      <c r="A24" s="24" t="s">
        <v>212</v>
      </c>
      <c r="E24" s="4" t="s">
        <v>124</v>
      </c>
    </row>
    <row r="25" spans="1:7" x14ac:dyDescent="0.25">
      <c r="A25" s="24" t="s">
        <v>213</v>
      </c>
      <c r="E25" s="4">
        <v>1</v>
      </c>
      <c r="G25" t="s">
        <v>161</v>
      </c>
    </row>
    <row r="26" spans="1:7" ht="15.75" thickBot="1" x14ac:dyDescent="0.3">
      <c r="A26" s="25" t="s">
        <v>214</v>
      </c>
      <c r="E26" s="4">
        <v>0.5</v>
      </c>
      <c r="G26" t="s">
        <v>160</v>
      </c>
    </row>
    <row r="27" spans="1:7" x14ac:dyDescent="0.25">
      <c r="A27" s="26" t="s">
        <v>215</v>
      </c>
      <c r="E27" s="4">
        <v>0.25</v>
      </c>
      <c r="G27" t="s">
        <v>156</v>
      </c>
    </row>
    <row r="28" spans="1:7" x14ac:dyDescent="0.25">
      <c r="A28" s="24" t="s">
        <v>216</v>
      </c>
      <c r="G28" t="s">
        <v>157</v>
      </c>
    </row>
    <row r="29" spans="1:7" x14ac:dyDescent="0.25">
      <c r="A29" s="24" t="s">
        <v>217</v>
      </c>
      <c r="E29" t="s">
        <v>121</v>
      </c>
      <c r="G29" t="s">
        <v>158</v>
      </c>
    </row>
    <row r="30" spans="1:7" ht="15.75" thickBot="1" x14ac:dyDescent="0.3">
      <c r="A30" s="25" t="s">
        <v>218</v>
      </c>
      <c r="E30" s="24" t="s">
        <v>124</v>
      </c>
      <c r="G30" t="s">
        <v>159</v>
      </c>
    </row>
    <row r="31" spans="1:7" x14ac:dyDescent="0.25">
      <c r="A31" s="24" t="s">
        <v>98</v>
      </c>
      <c r="E31" s="24" t="s">
        <v>97</v>
      </c>
    </row>
    <row r="32" spans="1:7" x14ac:dyDescent="0.25">
      <c r="A32" s="24" t="s">
        <v>99</v>
      </c>
    </row>
    <row r="33" spans="1:7" x14ac:dyDescent="0.25">
      <c r="A33" s="24" t="s">
        <v>100</v>
      </c>
    </row>
    <row r="34" spans="1:7" ht="15.75" thickBot="1" x14ac:dyDescent="0.3">
      <c r="A34" s="25" t="s">
        <v>101</v>
      </c>
      <c r="G34" t="s">
        <v>161</v>
      </c>
    </row>
    <row r="35" spans="1:7" x14ac:dyDescent="0.25">
      <c r="A35" s="24" t="s">
        <v>102</v>
      </c>
      <c r="G35" t="s">
        <v>163</v>
      </c>
    </row>
    <row r="36" spans="1:7" x14ac:dyDescent="0.25">
      <c r="A36" s="24" t="s">
        <v>103</v>
      </c>
      <c r="G36" t="s">
        <v>164</v>
      </c>
    </row>
    <row r="37" spans="1:7" x14ac:dyDescent="0.25">
      <c r="A37" s="24" t="s">
        <v>104</v>
      </c>
      <c r="G37" t="s">
        <v>165</v>
      </c>
    </row>
    <row r="38" spans="1:7" x14ac:dyDescent="0.25">
      <c r="A38" s="24" t="s">
        <v>105</v>
      </c>
      <c r="G38" t="s">
        <v>166</v>
      </c>
    </row>
    <row r="39" spans="1:7" x14ac:dyDescent="0.25">
      <c r="G39" t="s">
        <v>167</v>
      </c>
    </row>
    <row r="40" spans="1:7" x14ac:dyDescent="0.25">
      <c r="G40" t="s">
        <v>168</v>
      </c>
    </row>
    <row r="41" spans="1:7" x14ac:dyDescent="0.25">
      <c r="G41" t="s">
        <v>169</v>
      </c>
    </row>
    <row r="42" spans="1:7" x14ac:dyDescent="0.25">
      <c r="G42" t="s">
        <v>177</v>
      </c>
    </row>
    <row r="43" spans="1:7" x14ac:dyDescent="0.25">
      <c r="G43" t="s">
        <v>171</v>
      </c>
    </row>
    <row r="44" spans="1:7" x14ac:dyDescent="0.25">
      <c r="A44" s="1" t="s">
        <v>162</v>
      </c>
      <c r="G44" t="s">
        <v>172</v>
      </c>
    </row>
    <row r="45" spans="1:7" x14ac:dyDescent="0.25">
      <c r="A45" t="s">
        <v>206</v>
      </c>
      <c r="G45" t="s">
        <v>173</v>
      </c>
    </row>
    <row r="46" spans="1:7" x14ac:dyDescent="0.25">
      <c r="A46" s="70" t="s">
        <v>262</v>
      </c>
      <c r="G46" t="s">
        <v>174</v>
      </c>
    </row>
    <row r="47" spans="1:7" x14ac:dyDescent="0.25">
      <c r="G47" t="s">
        <v>175</v>
      </c>
    </row>
    <row r="48" spans="1:7" x14ac:dyDescent="0.25">
      <c r="A48" s="1" t="s">
        <v>161</v>
      </c>
      <c r="G48" t="s">
        <v>176</v>
      </c>
    </row>
    <row r="49" spans="1:7" x14ac:dyDescent="0.25">
      <c r="A49" t="s">
        <v>183</v>
      </c>
      <c r="G49" t="s">
        <v>170</v>
      </c>
    </row>
    <row r="50" spans="1:7" x14ac:dyDescent="0.25">
      <c r="A50" s="70" t="s">
        <v>263</v>
      </c>
    </row>
    <row r="51" spans="1:7" x14ac:dyDescent="0.25">
      <c r="G51" t="s">
        <v>161</v>
      </c>
    </row>
    <row r="52" spans="1:7" x14ac:dyDescent="0.25">
      <c r="A52" t="s">
        <v>192</v>
      </c>
      <c r="G52" t="s">
        <v>178</v>
      </c>
    </row>
    <row r="53" spans="1:7" x14ac:dyDescent="0.25">
      <c r="A53">
        <v>0</v>
      </c>
      <c r="G53" t="s">
        <v>179</v>
      </c>
    </row>
    <row r="54" spans="1:7" x14ac:dyDescent="0.25">
      <c r="A54">
        <v>12</v>
      </c>
    </row>
    <row r="55" spans="1:7" x14ac:dyDescent="0.25">
      <c r="A55">
        <v>11</v>
      </c>
      <c r="G55" t="s">
        <v>161</v>
      </c>
    </row>
    <row r="56" spans="1:7" x14ac:dyDescent="0.25">
      <c r="A56">
        <v>10</v>
      </c>
      <c r="G56" t="s">
        <v>183</v>
      </c>
    </row>
    <row r="57" spans="1:7" x14ac:dyDescent="0.25">
      <c r="A57">
        <v>9</v>
      </c>
      <c r="G57" t="s">
        <v>180</v>
      </c>
    </row>
    <row r="58" spans="1:7" x14ac:dyDescent="0.25">
      <c r="A58">
        <v>8</v>
      </c>
      <c r="G58" t="s">
        <v>181</v>
      </c>
    </row>
    <row r="59" spans="1:7" x14ac:dyDescent="0.25">
      <c r="A59">
        <v>7</v>
      </c>
    </row>
    <row r="60" spans="1:7" x14ac:dyDescent="0.25">
      <c r="A60">
        <v>6</v>
      </c>
    </row>
    <row r="61" spans="1:7" x14ac:dyDescent="0.25">
      <c r="A61">
        <v>5</v>
      </c>
    </row>
    <row r="62" spans="1:7" x14ac:dyDescent="0.25">
      <c r="A62">
        <v>4</v>
      </c>
      <c r="G62" t="s">
        <v>233</v>
      </c>
    </row>
    <row r="63" spans="1:7" x14ac:dyDescent="0.25">
      <c r="A63">
        <v>3</v>
      </c>
      <c r="G63" t="s">
        <v>234</v>
      </c>
    </row>
    <row r="64" spans="1:7" x14ac:dyDescent="0.25">
      <c r="A64">
        <v>2</v>
      </c>
      <c r="G64" t="s">
        <v>242</v>
      </c>
    </row>
    <row r="65" spans="1:7" x14ac:dyDescent="0.25">
      <c r="A65">
        <v>1</v>
      </c>
      <c r="G65" t="s">
        <v>232</v>
      </c>
    </row>
    <row r="66" spans="1:7" x14ac:dyDescent="0.25">
      <c r="A66">
        <v>0</v>
      </c>
      <c r="G66" t="s">
        <v>241</v>
      </c>
    </row>
    <row r="67" spans="1:7" x14ac:dyDescent="0.25">
      <c r="G67" t="s">
        <v>235</v>
      </c>
    </row>
    <row r="68" spans="1:7" x14ac:dyDescent="0.25">
      <c r="G68" t="s">
        <v>236</v>
      </c>
    </row>
    <row r="69" spans="1:7" x14ac:dyDescent="0.25">
      <c r="G69" t="s">
        <v>237</v>
      </c>
    </row>
    <row r="70" spans="1:7" ht="15.75" thickBot="1" x14ac:dyDescent="0.3">
      <c r="A70" s="127" t="s">
        <v>385</v>
      </c>
      <c r="G70" t="s">
        <v>238</v>
      </c>
    </row>
    <row r="71" spans="1:7" x14ac:dyDescent="0.25">
      <c r="A71" s="121" t="s">
        <v>16</v>
      </c>
      <c r="G71" t="s">
        <v>239</v>
      </c>
    </row>
    <row r="72" spans="1:7" x14ac:dyDescent="0.25">
      <c r="A72" s="127" t="s">
        <v>17</v>
      </c>
    </row>
    <row r="73" spans="1:7" x14ac:dyDescent="0.25">
      <c r="A73" s="127" t="s">
        <v>18</v>
      </c>
      <c r="G73" t="s">
        <v>233</v>
      </c>
    </row>
    <row r="74" spans="1:7" x14ac:dyDescent="0.25">
      <c r="A74" s="127" t="s">
        <v>19</v>
      </c>
      <c r="G74" t="s">
        <v>251</v>
      </c>
    </row>
    <row r="75" spans="1:7" x14ac:dyDescent="0.25">
      <c r="A75" s="127" t="s">
        <v>20</v>
      </c>
      <c r="G75" t="s">
        <v>127</v>
      </c>
    </row>
    <row r="76" spans="1:7" ht="15.75" thickBot="1" x14ac:dyDescent="0.3">
      <c r="A76" s="128" t="s">
        <v>21</v>
      </c>
      <c r="G76" t="s">
        <v>252</v>
      </c>
    </row>
    <row r="77" spans="1:7" x14ac:dyDescent="0.25">
      <c r="A77" s="121" t="s">
        <v>22</v>
      </c>
      <c r="G77" t="s">
        <v>253</v>
      </c>
    </row>
    <row r="78" spans="1:7" x14ac:dyDescent="0.25">
      <c r="A78" s="127" t="s">
        <v>23</v>
      </c>
      <c r="G78" t="s">
        <v>154</v>
      </c>
    </row>
    <row r="79" spans="1:7" x14ac:dyDescent="0.25">
      <c r="A79" s="127" t="s">
        <v>24</v>
      </c>
      <c r="G79" t="s">
        <v>128</v>
      </c>
    </row>
    <row r="80" spans="1:7" x14ac:dyDescent="0.25">
      <c r="A80" s="127" t="s">
        <v>25</v>
      </c>
      <c r="G80" t="s">
        <v>254</v>
      </c>
    </row>
    <row r="81" spans="1:7" x14ac:dyDescent="0.25">
      <c r="A81" s="127" t="s">
        <v>26</v>
      </c>
      <c r="G81" t="s">
        <v>255</v>
      </c>
    </row>
    <row r="82" spans="1:7" ht="15.75" thickBot="1" x14ac:dyDescent="0.3">
      <c r="A82" s="128" t="s">
        <v>27</v>
      </c>
      <c r="G82" t="s">
        <v>256</v>
      </c>
    </row>
    <row r="83" spans="1:7" x14ac:dyDescent="0.25">
      <c r="A83" s="121" t="s">
        <v>28</v>
      </c>
      <c r="G83" t="s">
        <v>257</v>
      </c>
    </row>
    <row r="84" spans="1:7" x14ac:dyDescent="0.25">
      <c r="A84" s="127" t="s">
        <v>29</v>
      </c>
    </row>
    <row r="85" spans="1:7" x14ac:dyDescent="0.25">
      <c r="A85" s="127" t="s">
        <v>30</v>
      </c>
    </row>
    <row r="86" spans="1:7" x14ac:dyDescent="0.25">
      <c r="A86" s="127" t="s">
        <v>31</v>
      </c>
    </row>
    <row r="87" spans="1:7" x14ac:dyDescent="0.25">
      <c r="A87" s="127" t="s">
        <v>32</v>
      </c>
      <c r="G87" t="s">
        <v>233</v>
      </c>
    </row>
    <row r="88" spans="1:7" ht="15.75" thickBot="1" x14ac:dyDescent="0.3">
      <c r="A88" s="128" t="s">
        <v>33</v>
      </c>
      <c r="G88" t="s">
        <v>267</v>
      </c>
    </row>
    <row r="89" spans="1:7" x14ac:dyDescent="0.25">
      <c r="A89" s="121" t="s">
        <v>34</v>
      </c>
      <c r="G89" t="s">
        <v>265</v>
      </c>
    </row>
    <row r="90" spans="1:7" x14ac:dyDescent="0.25">
      <c r="A90" s="127" t="s">
        <v>35</v>
      </c>
      <c r="G90" t="s">
        <v>268</v>
      </c>
    </row>
    <row r="91" spans="1:7" x14ac:dyDescent="0.25">
      <c r="A91" s="127" t="s">
        <v>36</v>
      </c>
    </row>
    <row r="92" spans="1:7" x14ac:dyDescent="0.25">
      <c r="A92" s="127" t="s">
        <v>37</v>
      </c>
    </row>
    <row r="93" spans="1:7" x14ac:dyDescent="0.25">
      <c r="A93" s="127" t="s">
        <v>38</v>
      </c>
      <c r="G93" t="s">
        <v>233</v>
      </c>
    </row>
    <row r="94" spans="1:7" ht="15.75" thickBot="1" x14ac:dyDescent="0.3">
      <c r="A94" s="128" t="s">
        <v>39</v>
      </c>
      <c r="G94" t="s">
        <v>269</v>
      </c>
    </row>
    <row r="95" spans="1:7" x14ac:dyDescent="0.25">
      <c r="A95" s="121" t="s">
        <v>40</v>
      </c>
      <c r="G95" t="s">
        <v>270</v>
      </c>
    </row>
    <row r="96" spans="1:7" x14ac:dyDescent="0.25">
      <c r="A96" s="127" t="s">
        <v>41</v>
      </c>
    </row>
    <row r="97" spans="1:11" x14ac:dyDescent="0.25">
      <c r="A97" s="127" t="s">
        <v>42</v>
      </c>
    </row>
    <row r="98" spans="1:11" x14ac:dyDescent="0.25">
      <c r="A98" s="127" t="s">
        <v>43</v>
      </c>
    </row>
    <row r="99" spans="1:11" x14ac:dyDescent="0.25">
      <c r="A99" s="127" t="s">
        <v>44</v>
      </c>
    </row>
    <row r="100" spans="1:11" x14ac:dyDescent="0.25">
      <c r="A100" s="127" t="s">
        <v>45</v>
      </c>
      <c r="G100" t="s">
        <v>233</v>
      </c>
    </row>
    <row r="101" spans="1:11" x14ac:dyDescent="0.25">
      <c r="A101" s="127" t="s">
        <v>46</v>
      </c>
      <c r="G101" s="137" t="s">
        <v>272</v>
      </c>
    </row>
    <row r="102" spans="1:11" ht="15.75" thickBot="1" x14ac:dyDescent="0.3">
      <c r="A102" s="128" t="s">
        <v>47</v>
      </c>
      <c r="G102" s="137" t="s">
        <v>273</v>
      </c>
    </row>
    <row r="103" spans="1:11" x14ac:dyDescent="0.25">
      <c r="A103" s="127" t="s">
        <v>48</v>
      </c>
      <c r="G103" s="137" t="s">
        <v>271</v>
      </c>
    </row>
    <row r="104" spans="1:11" x14ac:dyDescent="0.25">
      <c r="A104" s="127" t="s">
        <v>49</v>
      </c>
      <c r="G104" s="137" t="s">
        <v>184</v>
      </c>
    </row>
    <row r="105" spans="1:11" x14ac:dyDescent="0.25">
      <c r="A105" s="127" t="s">
        <v>50</v>
      </c>
      <c r="G105" s="137" t="s">
        <v>190</v>
      </c>
    </row>
    <row r="106" spans="1:11" x14ac:dyDescent="0.25">
      <c r="A106" s="127" t="s">
        <v>51</v>
      </c>
    </row>
    <row r="107" spans="1:11" x14ac:dyDescent="0.25">
      <c r="A107" s="127" t="s">
        <v>52</v>
      </c>
    </row>
    <row r="108" spans="1:11" x14ac:dyDescent="0.25">
      <c r="A108" s="127" t="s">
        <v>53</v>
      </c>
    </row>
    <row r="109" spans="1:11" ht="15.75" thickBot="1" x14ac:dyDescent="0.3">
      <c r="A109" s="127" t="s">
        <v>54</v>
      </c>
      <c r="G109" t="s">
        <v>420</v>
      </c>
      <c r="H109" s="4" t="s">
        <v>427</v>
      </c>
    </row>
    <row r="110" spans="1:11" ht="15.75" thickBot="1" x14ac:dyDescent="0.3">
      <c r="A110" s="128" t="s">
        <v>55</v>
      </c>
      <c r="G110" t="s">
        <v>421</v>
      </c>
      <c r="H110" s="138">
        <v>0.25</v>
      </c>
      <c r="J110" s="216" t="s">
        <v>421</v>
      </c>
      <c r="K110" s="235">
        <v>0.25</v>
      </c>
    </row>
    <row r="111" spans="1:11" ht="15.75" thickBot="1" x14ac:dyDescent="0.3">
      <c r="A111" s="121" t="s">
        <v>56</v>
      </c>
      <c r="G111" t="s">
        <v>422</v>
      </c>
      <c r="H111" s="138">
        <v>0.3</v>
      </c>
      <c r="J111" s="217" t="s">
        <v>422</v>
      </c>
      <c r="K111" s="138">
        <v>0.3</v>
      </c>
    </row>
    <row r="112" spans="1:11" ht="15.75" thickBot="1" x14ac:dyDescent="0.3">
      <c r="A112" s="127" t="s">
        <v>61</v>
      </c>
      <c r="G112" s="229"/>
      <c r="H112" s="308"/>
      <c r="J112" s="216" t="s">
        <v>423</v>
      </c>
      <c r="K112" s="235">
        <v>0.65</v>
      </c>
    </row>
    <row r="113" spans="1:11" x14ac:dyDescent="0.25">
      <c r="A113" s="127" t="s">
        <v>57</v>
      </c>
    </row>
    <row r="114" spans="1:11" x14ac:dyDescent="0.25">
      <c r="A114" s="127" t="s">
        <v>58</v>
      </c>
      <c r="E114" t="s">
        <v>274</v>
      </c>
    </row>
    <row r="115" spans="1:11" x14ac:dyDescent="0.25">
      <c r="A115" s="127" t="s">
        <v>59</v>
      </c>
      <c r="E115" t="s">
        <v>433</v>
      </c>
      <c r="J115" t="s">
        <v>425</v>
      </c>
    </row>
    <row r="116" spans="1:11" x14ac:dyDescent="0.25">
      <c r="A116" s="127" t="s">
        <v>62</v>
      </c>
      <c r="E116" t="s">
        <v>431</v>
      </c>
      <c r="G116" t="s">
        <v>162</v>
      </c>
      <c r="J116" t="s">
        <v>421</v>
      </c>
      <c r="K116" s="4">
        <v>0.25</v>
      </c>
    </row>
    <row r="117" spans="1:11" ht="15.75" thickBot="1" x14ac:dyDescent="0.3">
      <c r="A117" s="128" t="s">
        <v>60</v>
      </c>
      <c r="E117" t="s">
        <v>432</v>
      </c>
      <c r="G117" t="s">
        <v>450</v>
      </c>
      <c r="J117" t="s">
        <v>422</v>
      </c>
      <c r="K117" s="4">
        <v>0.3</v>
      </c>
    </row>
    <row r="118" spans="1:11" x14ac:dyDescent="0.25">
      <c r="A118" s="121" t="s">
        <v>63</v>
      </c>
      <c r="G118" t="s">
        <v>451</v>
      </c>
      <c r="J118" t="s">
        <v>423</v>
      </c>
      <c r="K118" s="4">
        <v>0.4</v>
      </c>
    </row>
    <row r="119" spans="1:11" x14ac:dyDescent="0.25">
      <c r="A119" s="127" t="s">
        <v>64</v>
      </c>
      <c r="G119" t="s">
        <v>478</v>
      </c>
      <c r="J119" t="s">
        <v>426</v>
      </c>
    </row>
    <row r="120" spans="1:11" x14ac:dyDescent="0.25">
      <c r="A120" s="127" t="s">
        <v>65</v>
      </c>
      <c r="G120" t="s">
        <v>483</v>
      </c>
    </row>
    <row r="121" spans="1:11" x14ac:dyDescent="0.25">
      <c r="A121" s="127" t="s">
        <v>66</v>
      </c>
    </row>
    <row r="122" spans="1:11" x14ac:dyDescent="0.25">
      <c r="A122" s="127" t="s">
        <v>67</v>
      </c>
      <c r="E122" t="s">
        <v>436</v>
      </c>
    </row>
    <row r="123" spans="1:11" x14ac:dyDescent="0.25">
      <c r="A123" s="127" t="s">
        <v>68</v>
      </c>
      <c r="E123" t="s">
        <v>380</v>
      </c>
    </row>
    <row r="124" spans="1:11" ht="15.75" thickBot="1" x14ac:dyDescent="0.3">
      <c r="A124" s="128" t="s">
        <v>69</v>
      </c>
      <c r="E124" t="s">
        <v>381</v>
      </c>
    </row>
    <row r="125" spans="1:11" x14ac:dyDescent="0.25">
      <c r="A125" s="121" t="s">
        <v>70</v>
      </c>
      <c r="E125" t="s">
        <v>382</v>
      </c>
    </row>
    <row r="126" spans="1:11" x14ac:dyDescent="0.25">
      <c r="A126" s="127" t="s">
        <v>71</v>
      </c>
      <c r="E126" t="s">
        <v>383</v>
      </c>
    </row>
    <row r="127" spans="1:11" x14ac:dyDescent="0.25">
      <c r="A127" s="127" t="s">
        <v>72</v>
      </c>
      <c r="E127" t="s">
        <v>393</v>
      </c>
    </row>
    <row r="128" spans="1:11" x14ac:dyDescent="0.25">
      <c r="A128" s="127" t="s">
        <v>73</v>
      </c>
      <c r="E128" t="s">
        <v>394</v>
      </c>
    </row>
    <row r="129" spans="1:5" x14ac:dyDescent="0.25">
      <c r="A129" s="127" t="s">
        <v>74</v>
      </c>
      <c r="E129" t="s">
        <v>395</v>
      </c>
    </row>
    <row r="130" spans="1:5" x14ac:dyDescent="0.25">
      <c r="A130" s="127" t="s">
        <v>75</v>
      </c>
      <c r="E130" t="s">
        <v>396</v>
      </c>
    </row>
    <row r="131" spans="1:5" x14ac:dyDescent="0.25">
      <c r="A131" s="127" t="s">
        <v>76</v>
      </c>
      <c r="E131" t="s">
        <v>397</v>
      </c>
    </row>
    <row r="132" spans="1:5" x14ac:dyDescent="0.25">
      <c r="A132" s="127" t="s">
        <v>77</v>
      </c>
      <c r="E132" t="s">
        <v>195</v>
      </c>
    </row>
    <row r="133" spans="1:5" x14ac:dyDescent="0.25">
      <c r="A133" s="127" t="s">
        <v>78</v>
      </c>
      <c r="E133" t="s">
        <v>196</v>
      </c>
    </row>
    <row r="134" spans="1:5" x14ac:dyDescent="0.25">
      <c r="A134" s="127" t="s">
        <v>79</v>
      </c>
      <c r="E134" t="s">
        <v>197</v>
      </c>
    </row>
    <row r="135" spans="1:5" x14ac:dyDescent="0.25">
      <c r="A135" s="127" t="s">
        <v>80</v>
      </c>
      <c r="E135" t="s">
        <v>198</v>
      </c>
    </row>
    <row r="136" spans="1:5" x14ac:dyDescent="0.25">
      <c r="A136" s="127" t="s">
        <v>81</v>
      </c>
      <c r="E136" t="s">
        <v>199</v>
      </c>
    </row>
    <row r="137" spans="1:5" x14ac:dyDescent="0.25">
      <c r="A137" s="127" t="s">
        <v>82</v>
      </c>
      <c r="E137" t="s">
        <v>244</v>
      </c>
    </row>
    <row r="138" spans="1:5" x14ac:dyDescent="0.25">
      <c r="A138" s="127" t="s">
        <v>83</v>
      </c>
      <c r="E138" t="s">
        <v>245</v>
      </c>
    </row>
    <row r="139" spans="1:5" x14ac:dyDescent="0.25">
      <c r="E139" t="s">
        <v>246</v>
      </c>
    </row>
    <row r="140" spans="1:5" x14ac:dyDescent="0.25">
      <c r="E140" t="s">
        <v>247</v>
      </c>
    </row>
    <row r="141" spans="1:5" x14ac:dyDescent="0.25">
      <c r="E141" t="s">
        <v>248</v>
      </c>
    </row>
    <row r="142" spans="1:5" x14ac:dyDescent="0.25">
      <c r="E142" t="s">
        <v>400</v>
      </c>
    </row>
    <row r="143" spans="1:5" x14ac:dyDescent="0.25">
      <c r="E143" t="s">
        <v>401</v>
      </c>
    </row>
    <row r="144" spans="1:5" ht="15.75" thickBot="1" x14ac:dyDescent="0.3">
      <c r="A144" t="s">
        <v>515</v>
      </c>
      <c r="E144" t="s">
        <v>402</v>
      </c>
    </row>
    <row r="145" spans="1:7" x14ac:dyDescent="0.25">
      <c r="A145" s="26" t="s">
        <v>346</v>
      </c>
      <c r="E145" t="s">
        <v>403</v>
      </c>
    </row>
    <row r="146" spans="1:7" x14ac:dyDescent="0.25">
      <c r="A146" s="24" t="s">
        <v>345</v>
      </c>
      <c r="E146" t="s">
        <v>404</v>
      </c>
    </row>
    <row r="147" spans="1:7" x14ac:dyDescent="0.25">
      <c r="A147" s="24" t="s">
        <v>344</v>
      </c>
    </row>
    <row r="148" spans="1:7" x14ac:dyDescent="0.25">
      <c r="A148" s="24" t="s">
        <v>343</v>
      </c>
    </row>
    <row r="149" spans="1:7" x14ac:dyDescent="0.25">
      <c r="A149" s="24" t="s">
        <v>342</v>
      </c>
      <c r="G149" t="s">
        <v>437</v>
      </c>
    </row>
    <row r="150" spans="1:7" ht="15.75" thickBot="1" x14ac:dyDescent="0.3">
      <c r="A150" s="25" t="s">
        <v>341</v>
      </c>
      <c r="E150" s="251" t="s">
        <v>272</v>
      </c>
      <c r="G150" s="251" t="s">
        <v>272</v>
      </c>
    </row>
    <row r="151" spans="1:7" x14ac:dyDescent="0.25">
      <c r="A151" s="26" t="s">
        <v>340</v>
      </c>
      <c r="E151" s="250" t="s">
        <v>273</v>
      </c>
      <c r="G151" s="250" t="s">
        <v>273</v>
      </c>
    </row>
    <row r="152" spans="1:7" x14ac:dyDescent="0.25">
      <c r="A152" s="24" t="s">
        <v>339</v>
      </c>
      <c r="E152" s="249" t="s">
        <v>271</v>
      </c>
      <c r="G152" s="249" t="s">
        <v>271</v>
      </c>
    </row>
    <row r="153" spans="1:7" x14ac:dyDescent="0.25">
      <c r="A153" s="24" t="s">
        <v>338</v>
      </c>
      <c r="E153" s="250" t="s">
        <v>184</v>
      </c>
      <c r="G153" s="250" t="s">
        <v>184</v>
      </c>
    </row>
    <row r="154" spans="1:7" x14ac:dyDescent="0.25">
      <c r="A154" s="24" t="s">
        <v>337</v>
      </c>
      <c r="E154" s="252" t="s">
        <v>190</v>
      </c>
      <c r="G154" s="252" t="s">
        <v>190</v>
      </c>
    </row>
    <row r="155" spans="1:7" x14ac:dyDescent="0.25">
      <c r="A155" s="24" t="s">
        <v>336</v>
      </c>
    </row>
    <row r="156" spans="1:7" ht="15.75" thickBot="1" x14ac:dyDescent="0.3">
      <c r="A156" s="25" t="s">
        <v>335</v>
      </c>
      <c r="E156" t="s">
        <v>274</v>
      </c>
    </row>
    <row r="157" spans="1:7" x14ac:dyDescent="0.25">
      <c r="A157" s="26" t="s">
        <v>334</v>
      </c>
      <c r="E157" t="s">
        <v>437</v>
      </c>
    </row>
    <row r="158" spans="1:7" x14ac:dyDescent="0.25">
      <c r="A158" s="24" t="s">
        <v>333</v>
      </c>
      <c r="E158" t="s">
        <v>439</v>
      </c>
    </row>
    <row r="159" spans="1:7" x14ac:dyDescent="0.25">
      <c r="A159" s="24" t="s">
        <v>332</v>
      </c>
      <c r="E159" t="s">
        <v>273</v>
      </c>
    </row>
    <row r="160" spans="1:7" x14ac:dyDescent="0.25">
      <c r="A160" s="24" t="s">
        <v>331</v>
      </c>
      <c r="E160" t="s">
        <v>271</v>
      </c>
    </row>
    <row r="161" spans="1:5" x14ac:dyDescent="0.25">
      <c r="A161" s="24" t="s">
        <v>330</v>
      </c>
      <c r="E161" t="s">
        <v>184</v>
      </c>
    </row>
    <row r="162" spans="1:5" x14ac:dyDescent="0.25">
      <c r="A162" s="24" t="s">
        <v>329</v>
      </c>
      <c r="E162" t="s">
        <v>438</v>
      </c>
    </row>
    <row r="163" spans="1:5" ht="15.75" thickBot="1" x14ac:dyDescent="0.3">
      <c r="A163" s="25" t="s">
        <v>328</v>
      </c>
    </row>
    <row r="164" spans="1:5" x14ac:dyDescent="0.25">
      <c r="A164" s="24" t="s">
        <v>327</v>
      </c>
    </row>
    <row r="165" spans="1:5" x14ac:dyDescent="0.25">
      <c r="A165" s="24" t="s">
        <v>326</v>
      </c>
    </row>
    <row r="166" spans="1:5" x14ac:dyDescent="0.25">
      <c r="A166" s="24" t="s">
        <v>325</v>
      </c>
    </row>
    <row r="167" spans="1:5" x14ac:dyDescent="0.25">
      <c r="A167" s="24" t="s">
        <v>324</v>
      </c>
    </row>
    <row r="168" spans="1:5" x14ac:dyDescent="0.25">
      <c r="A168" s="24" t="s">
        <v>323</v>
      </c>
    </row>
    <row r="169" spans="1:5" x14ac:dyDescent="0.25">
      <c r="A169" s="24" t="s">
        <v>322</v>
      </c>
    </row>
    <row r="170" spans="1:5" ht="15.75" thickBot="1" x14ac:dyDescent="0.3">
      <c r="A170" s="24" t="s">
        <v>321</v>
      </c>
    </row>
    <row r="171" spans="1:5" x14ac:dyDescent="0.25">
      <c r="A171" s="26" t="s">
        <v>320</v>
      </c>
    </row>
    <row r="172" spans="1:5" x14ac:dyDescent="0.25">
      <c r="A172" s="24" t="s">
        <v>319</v>
      </c>
    </row>
    <row r="173" spans="1:5" x14ac:dyDescent="0.25">
      <c r="A173" s="24" t="s">
        <v>318</v>
      </c>
    </row>
    <row r="174" spans="1:5" x14ac:dyDescent="0.25">
      <c r="A174" s="24" t="s">
        <v>317</v>
      </c>
    </row>
    <row r="175" spans="1:5" x14ac:dyDescent="0.25">
      <c r="A175" s="24" t="s">
        <v>316</v>
      </c>
    </row>
    <row r="176" spans="1:5" x14ac:dyDescent="0.25">
      <c r="A176" s="24" t="s">
        <v>315</v>
      </c>
    </row>
    <row r="177" spans="1:1" x14ac:dyDescent="0.25">
      <c r="A177" s="24" t="s">
        <v>314</v>
      </c>
    </row>
    <row r="178" spans="1:1" x14ac:dyDescent="0.25">
      <c r="A178" s="24" t="s">
        <v>313</v>
      </c>
    </row>
    <row r="179" spans="1:1" ht="15.75" thickBot="1" x14ac:dyDescent="0.3">
      <c r="A179" s="24" t="s">
        <v>312</v>
      </c>
    </row>
    <row r="180" spans="1:1" x14ac:dyDescent="0.25">
      <c r="A180" s="26" t="s">
        <v>311</v>
      </c>
    </row>
    <row r="181" spans="1:1" x14ac:dyDescent="0.25">
      <c r="A181" s="24" t="s">
        <v>310</v>
      </c>
    </row>
    <row r="182" spans="1:1" x14ac:dyDescent="0.25">
      <c r="A182" s="24" t="s">
        <v>309</v>
      </c>
    </row>
    <row r="183" spans="1:1" x14ac:dyDescent="0.25">
      <c r="A183" s="24" t="s">
        <v>308</v>
      </c>
    </row>
    <row r="184" spans="1:1" x14ac:dyDescent="0.25">
      <c r="A184" s="24" t="s">
        <v>307</v>
      </c>
    </row>
    <row r="185" spans="1:1" x14ac:dyDescent="0.25">
      <c r="A185" s="24" t="s">
        <v>306</v>
      </c>
    </row>
    <row r="186" spans="1:1" x14ac:dyDescent="0.25">
      <c r="A186" s="24" t="s">
        <v>305</v>
      </c>
    </row>
    <row r="187" spans="1:1" x14ac:dyDescent="0.25">
      <c r="A187" s="24" t="s">
        <v>304</v>
      </c>
    </row>
    <row r="188" spans="1:1" ht="15.75" thickBot="1" x14ac:dyDescent="0.3">
      <c r="A188" s="25" t="s">
        <v>303</v>
      </c>
    </row>
    <row r="189" spans="1:1" x14ac:dyDescent="0.25">
      <c r="A189" s="26" t="s">
        <v>302</v>
      </c>
    </row>
    <row r="190" spans="1:1" x14ac:dyDescent="0.25">
      <c r="A190" s="24" t="s">
        <v>301</v>
      </c>
    </row>
    <row r="191" spans="1:1" x14ac:dyDescent="0.25">
      <c r="A191" s="24" t="s">
        <v>300</v>
      </c>
    </row>
    <row r="192" spans="1:1" x14ac:dyDescent="0.25">
      <c r="A192" s="24" t="s">
        <v>299</v>
      </c>
    </row>
    <row r="193" spans="1:1" x14ac:dyDescent="0.25">
      <c r="A193" s="24" t="s">
        <v>298</v>
      </c>
    </row>
    <row r="194" spans="1:1" x14ac:dyDescent="0.25">
      <c r="A194" s="24" t="s">
        <v>297</v>
      </c>
    </row>
    <row r="195" spans="1:1" x14ac:dyDescent="0.25">
      <c r="A195" s="24" t="s">
        <v>296</v>
      </c>
    </row>
    <row r="196" spans="1:1" x14ac:dyDescent="0.25">
      <c r="A196" s="24" t="s">
        <v>295</v>
      </c>
    </row>
    <row r="197" spans="1:1" x14ac:dyDescent="0.25">
      <c r="A197" s="127" t="s">
        <v>294</v>
      </c>
    </row>
    <row r="198" spans="1:1" x14ac:dyDescent="0.25">
      <c r="A198" s="127" t="s">
        <v>293</v>
      </c>
    </row>
    <row r="199" spans="1:1" ht="15.75" thickBot="1" x14ac:dyDescent="0.3">
      <c r="A199" s="25" t="s">
        <v>292</v>
      </c>
    </row>
    <row r="200" spans="1:1" x14ac:dyDescent="0.25">
      <c r="A200" s="24" t="s">
        <v>291</v>
      </c>
    </row>
    <row r="201" spans="1:1" x14ac:dyDescent="0.25">
      <c r="A201" s="24" t="s">
        <v>290</v>
      </c>
    </row>
    <row r="202" spans="1:1" x14ac:dyDescent="0.25">
      <c r="A202" s="24" t="s">
        <v>289</v>
      </c>
    </row>
    <row r="203" spans="1:1" x14ac:dyDescent="0.25">
      <c r="A203" s="24" t="s">
        <v>288</v>
      </c>
    </row>
    <row r="204" spans="1:1" x14ac:dyDescent="0.25">
      <c r="A204" s="24" t="s">
        <v>287</v>
      </c>
    </row>
    <row r="205" spans="1:1" x14ac:dyDescent="0.25">
      <c r="A205" s="24" t="s">
        <v>286</v>
      </c>
    </row>
    <row r="206" spans="1:1" x14ac:dyDescent="0.25">
      <c r="A206" s="24" t="s">
        <v>285</v>
      </c>
    </row>
    <row r="207" spans="1:1" x14ac:dyDescent="0.25">
      <c r="A207" s="24" t="s">
        <v>284</v>
      </c>
    </row>
    <row r="208" spans="1:1" x14ac:dyDescent="0.25">
      <c r="A208" s="127" t="s">
        <v>283</v>
      </c>
    </row>
    <row r="209" spans="1:1" x14ac:dyDescent="0.25">
      <c r="A209" s="127" t="s">
        <v>282</v>
      </c>
    </row>
    <row r="210" spans="1:1" x14ac:dyDescent="0.25">
      <c r="A210" s="24" t="s">
        <v>281</v>
      </c>
    </row>
    <row r="211" spans="1:1" x14ac:dyDescent="0.25">
      <c r="A211" s="127" t="s">
        <v>280</v>
      </c>
    </row>
    <row r="212" spans="1:1" x14ac:dyDescent="0.25">
      <c r="A212" s="127" t="s">
        <v>279</v>
      </c>
    </row>
  </sheetData>
  <pageMargins left="0.7" right="0.7" top="0.75" bottom="0.75" header="0.3" footer="0.3"/>
  <pageSetup paperSize="9" orientation="portrait" horizontalDpi="4294967293" verticalDpi="0"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E668-55BD-44BF-8AAE-CA1167006D2D}">
  <sheetPr codeName="Sheet12"/>
  <dimension ref="A1:B2"/>
  <sheetViews>
    <sheetView workbookViewId="0"/>
  </sheetViews>
  <sheetFormatPr defaultRowHeight="15" x14ac:dyDescent="0.25"/>
  <cols>
    <col min="1" max="1" width="20.42578125" bestFit="1" customWidth="1"/>
  </cols>
  <sheetData>
    <row r="1" spans="1:2" x14ac:dyDescent="0.25">
      <c r="A1" s="48" t="s">
        <v>180</v>
      </c>
      <c r="B1">
        <v>3</v>
      </c>
    </row>
    <row r="2" spans="1:2" x14ac:dyDescent="0.25">
      <c r="A2" s="49" t="s">
        <v>181</v>
      </c>
      <c r="B2">
        <v>5</v>
      </c>
    </row>
  </sheetData>
  <pageMargins left="0.7" right="0.7" top="0.75" bottom="0.75" header="0.3" footer="0.3"/>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1F23-018A-4D18-B0BA-7F890BC1491D}">
  <sheetPr codeName="Sheet15"/>
  <dimension ref="A1:V76"/>
  <sheetViews>
    <sheetView workbookViewId="0">
      <pane ySplit="4" topLeftCell="A5" activePane="bottomLeft" state="frozen"/>
      <selection activeCell="G18" sqref="G18"/>
      <selection pane="bottomLeft" activeCell="D7" sqref="D7"/>
    </sheetView>
  </sheetViews>
  <sheetFormatPr defaultColWidth="9.140625" defaultRowHeight="15" x14ac:dyDescent="0.25"/>
  <cols>
    <col min="1" max="1" width="60.140625" style="176" customWidth="1"/>
    <col min="2" max="2" width="9.140625" style="176"/>
    <col min="3" max="3" width="21" style="177" customWidth="1"/>
    <col min="4" max="4" width="18.28515625" style="176" customWidth="1"/>
    <col min="5" max="5" width="19.85546875" style="176" customWidth="1"/>
    <col min="6" max="6" width="14.140625" style="176" customWidth="1"/>
    <col min="7" max="7" width="9.85546875" style="176" customWidth="1"/>
    <col min="8" max="8" width="15" style="176" bestFit="1" customWidth="1"/>
    <col min="9" max="16384" width="9.140625" style="176"/>
  </cols>
  <sheetData>
    <row r="1" spans="1:22" ht="15.75" thickBot="1" x14ac:dyDescent="0.3">
      <c r="A1" s="175" t="s">
        <v>11</v>
      </c>
      <c r="E1" s="500" t="s">
        <v>9</v>
      </c>
      <c r="F1" s="501"/>
    </row>
    <row r="2" spans="1:22" x14ac:dyDescent="0.25">
      <c r="A2" s="176" t="s">
        <v>352</v>
      </c>
      <c r="E2" s="178" t="s">
        <v>3</v>
      </c>
      <c r="F2" s="179">
        <v>0.1105</v>
      </c>
      <c r="G2" s="175"/>
    </row>
    <row r="3" spans="1:22" x14ac:dyDescent="0.25">
      <c r="E3" s="180" t="s">
        <v>4</v>
      </c>
      <c r="F3" s="181">
        <v>0.1</v>
      </c>
      <c r="G3" s="175"/>
      <c r="J3" s="182"/>
    </row>
    <row r="4" spans="1:22" ht="15.75" thickBot="1" x14ac:dyDescent="0.3">
      <c r="A4" s="183"/>
      <c r="E4" s="184" t="s">
        <v>119</v>
      </c>
      <c r="F4" s="185">
        <v>1</v>
      </c>
    </row>
    <row r="5" spans="1:22" s="186" customFormat="1" ht="15.75" thickBot="1" x14ac:dyDescent="0.3">
      <c r="A5" s="186">
        <v>1</v>
      </c>
      <c r="B5" s="186">
        <v>2</v>
      </c>
      <c r="C5" s="186">
        <v>3</v>
      </c>
      <c r="D5" s="186">
        <v>4</v>
      </c>
      <c r="E5" s="186">
        <v>5</v>
      </c>
      <c r="F5" s="186">
        <v>6</v>
      </c>
      <c r="G5" s="186">
        <v>7</v>
      </c>
      <c r="H5" s="186">
        <v>8</v>
      </c>
      <c r="I5" s="186">
        <v>9</v>
      </c>
      <c r="J5" s="186">
        <v>10</v>
      </c>
      <c r="K5" s="186">
        <v>11</v>
      </c>
      <c r="L5" s="186">
        <v>12</v>
      </c>
      <c r="M5" s="186">
        <v>13</v>
      </c>
      <c r="N5" s="186">
        <v>14</v>
      </c>
      <c r="O5" s="186">
        <v>15</v>
      </c>
      <c r="P5" s="186">
        <v>16</v>
      </c>
      <c r="Q5" s="186">
        <v>17</v>
      </c>
      <c r="R5" s="186">
        <v>18</v>
      </c>
      <c r="S5" s="186">
        <v>19</v>
      </c>
      <c r="T5" s="186">
        <v>20</v>
      </c>
      <c r="U5" s="186">
        <v>21</v>
      </c>
      <c r="V5" s="186">
        <v>22</v>
      </c>
    </row>
    <row r="6" spans="1:22" x14ac:dyDescent="0.25">
      <c r="C6" s="502" t="s">
        <v>114</v>
      </c>
      <c r="D6" s="503"/>
      <c r="E6" s="503"/>
      <c r="F6" s="504"/>
      <c r="G6" s="502" t="s">
        <v>115</v>
      </c>
      <c r="H6" s="503"/>
      <c r="I6" s="503"/>
      <c r="J6" s="504"/>
      <c r="K6" s="502" t="s">
        <v>116</v>
      </c>
      <c r="L6" s="503"/>
      <c r="M6" s="503"/>
      <c r="N6" s="504"/>
      <c r="O6" s="502" t="s">
        <v>117</v>
      </c>
      <c r="P6" s="503"/>
      <c r="Q6" s="503"/>
      <c r="R6" s="504"/>
      <c r="S6" s="502" t="s">
        <v>125</v>
      </c>
      <c r="T6" s="503"/>
      <c r="U6" s="503"/>
      <c r="V6" s="504"/>
    </row>
    <row r="7" spans="1:22" ht="60.75" thickBot="1" x14ac:dyDescent="0.3">
      <c r="C7" s="187" t="s">
        <v>1</v>
      </c>
      <c r="D7" s="188" t="s">
        <v>7</v>
      </c>
      <c r="E7" s="188" t="s">
        <v>8</v>
      </c>
      <c r="F7" s="189" t="s">
        <v>118</v>
      </c>
      <c r="G7" s="187" t="s">
        <v>1</v>
      </c>
      <c r="H7" s="188" t="s">
        <v>7</v>
      </c>
      <c r="I7" s="188" t="s">
        <v>8</v>
      </c>
      <c r="J7" s="189" t="s">
        <v>118</v>
      </c>
      <c r="K7" s="187" t="s">
        <v>1</v>
      </c>
      <c r="L7" s="188" t="s">
        <v>7</v>
      </c>
      <c r="M7" s="188" t="s">
        <v>8</v>
      </c>
      <c r="N7" s="189" t="s">
        <v>118</v>
      </c>
      <c r="O7" s="187" t="s">
        <v>1</v>
      </c>
      <c r="P7" s="188" t="s">
        <v>7</v>
      </c>
      <c r="Q7" s="188" t="s">
        <v>8</v>
      </c>
      <c r="R7" s="189" t="s">
        <v>118</v>
      </c>
      <c r="S7" s="187" t="s">
        <v>1</v>
      </c>
      <c r="T7" s="188" t="s">
        <v>7</v>
      </c>
      <c r="U7" s="188" t="s">
        <v>8</v>
      </c>
      <c r="V7" s="189" t="s">
        <v>118</v>
      </c>
    </row>
    <row r="8" spans="1:22" ht="15.75" thickBot="1" x14ac:dyDescent="0.3">
      <c r="A8" s="190"/>
      <c r="B8" s="191" t="s">
        <v>0</v>
      </c>
      <c r="C8" s="192" t="s">
        <v>5</v>
      </c>
      <c r="D8" s="191" t="s">
        <v>5</v>
      </c>
      <c r="E8" s="191" t="s">
        <v>6</v>
      </c>
      <c r="F8" s="193" t="s">
        <v>6</v>
      </c>
      <c r="G8" s="192" t="s">
        <v>5</v>
      </c>
      <c r="H8" s="191" t="s">
        <v>5</v>
      </c>
      <c r="I8" s="191" t="s">
        <v>6</v>
      </c>
      <c r="J8" s="193" t="s">
        <v>6</v>
      </c>
      <c r="K8" s="192" t="s">
        <v>5</v>
      </c>
      <c r="L8" s="191" t="s">
        <v>5</v>
      </c>
      <c r="M8" s="191" t="s">
        <v>6</v>
      </c>
      <c r="N8" s="193" t="s">
        <v>6</v>
      </c>
      <c r="O8" s="192" t="s">
        <v>5</v>
      </c>
      <c r="P8" s="191" t="s">
        <v>5</v>
      </c>
      <c r="Q8" s="191" t="s">
        <v>6</v>
      </c>
      <c r="R8" s="193" t="s">
        <v>6</v>
      </c>
      <c r="S8" s="192" t="s">
        <v>5</v>
      </c>
      <c r="T8" s="191" t="s">
        <v>5</v>
      </c>
      <c r="U8" s="191" t="s">
        <v>6</v>
      </c>
      <c r="V8" s="193" t="s">
        <v>6</v>
      </c>
    </row>
    <row r="9" spans="1:22" x14ac:dyDescent="0.25">
      <c r="A9" s="194" t="s">
        <v>16</v>
      </c>
      <c r="B9" s="195">
        <v>1</v>
      </c>
      <c r="C9" s="196">
        <v>123352</v>
      </c>
      <c r="D9" s="197">
        <f t="shared" ref="D9:D36" si="0">C9*$F$2</f>
        <v>13630.396000000001</v>
      </c>
      <c r="E9" s="197">
        <f t="shared" ref="E9:E40" si="1">C9*$F$3</f>
        <v>12335.2</v>
      </c>
      <c r="F9" s="198">
        <f>SUM(C9:E9)</f>
        <v>149317.59600000002</v>
      </c>
      <c r="G9" s="196">
        <f>C9*$F$4</f>
        <v>123352</v>
      </c>
      <c r="H9" s="197">
        <f t="shared" ref="H9:H36" si="2">G9*$F$2</f>
        <v>13630.396000000001</v>
      </c>
      <c r="I9" s="197">
        <f t="shared" ref="I9:I40" si="3">G9*$F$3</f>
        <v>12335.2</v>
      </c>
      <c r="J9" s="198">
        <f>SUM(G9:I9)</f>
        <v>149317.59600000002</v>
      </c>
      <c r="K9" s="196">
        <f>G9*$F$4</f>
        <v>123352</v>
      </c>
      <c r="L9" s="197">
        <f t="shared" ref="L9:L36" si="4">K9*$F$2</f>
        <v>13630.396000000001</v>
      </c>
      <c r="M9" s="197">
        <f t="shared" ref="M9:M40" si="5">K9*$F$3</f>
        <v>12335.2</v>
      </c>
      <c r="N9" s="198">
        <f>SUM(K9:M9)</f>
        <v>149317.59600000002</v>
      </c>
      <c r="O9" s="196">
        <f>K9*$F$4</f>
        <v>123352</v>
      </c>
      <c r="P9" s="197">
        <f t="shared" ref="P9:P36" si="6">O9*$F$2</f>
        <v>13630.396000000001</v>
      </c>
      <c r="Q9" s="197">
        <f t="shared" ref="Q9:Q40" si="7">O9*$F$3</f>
        <v>12335.2</v>
      </c>
      <c r="R9" s="198">
        <f>SUM(O9:Q9)</f>
        <v>149317.59600000002</v>
      </c>
      <c r="S9" s="196">
        <f>O9*$F$4</f>
        <v>123352</v>
      </c>
      <c r="T9" s="197">
        <f t="shared" ref="T9:T54" si="8">S9*$F$2</f>
        <v>13630.396000000001</v>
      </c>
      <c r="U9" s="197">
        <f t="shared" ref="U9:U72" si="9">S9*$F$3</f>
        <v>12335.2</v>
      </c>
      <c r="V9" s="198">
        <f>SUM(S9:U9)</f>
        <v>149317.59600000002</v>
      </c>
    </row>
    <row r="10" spans="1:22" x14ac:dyDescent="0.25">
      <c r="A10" s="199" t="s">
        <v>17</v>
      </c>
      <c r="B10" s="177">
        <v>2</v>
      </c>
      <c r="C10" s="200">
        <v>130426</v>
      </c>
      <c r="D10" s="201">
        <f t="shared" si="0"/>
        <v>14412.073</v>
      </c>
      <c r="E10" s="201">
        <f t="shared" si="1"/>
        <v>13042.6</v>
      </c>
      <c r="F10" s="202">
        <f t="shared" ref="F10:F14" si="10">SUM(C10:E10)</f>
        <v>157880.67300000001</v>
      </c>
      <c r="G10" s="200">
        <f t="shared" ref="G10:G73" si="11">C10*$F$4</f>
        <v>130426</v>
      </c>
      <c r="H10" s="201">
        <f t="shared" si="2"/>
        <v>14412.073</v>
      </c>
      <c r="I10" s="201">
        <f t="shared" si="3"/>
        <v>13042.6</v>
      </c>
      <c r="J10" s="202">
        <f t="shared" ref="J10:J14" si="12">SUM(G10:I10)</f>
        <v>157880.67300000001</v>
      </c>
      <c r="K10" s="200">
        <f t="shared" ref="K10:K73" si="13">G10*$F$4</f>
        <v>130426</v>
      </c>
      <c r="L10" s="201">
        <f t="shared" si="4"/>
        <v>14412.073</v>
      </c>
      <c r="M10" s="201">
        <f t="shared" si="5"/>
        <v>13042.6</v>
      </c>
      <c r="N10" s="202">
        <f t="shared" ref="N10:N14" si="14">SUM(K10:M10)</f>
        <v>157880.67300000001</v>
      </c>
      <c r="O10" s="200">
        <f t="shared" ref="O10:O73" si="15">K10*$F$4</f>
        <v>130426</v>
      </c>
      <c r="P10" s="201">
        <f t="shared" si="6"/>
        <v>14412.073</v>
      </c>
      <c r="Q10" s="201">
        <f t="shared" si="7"/>
        <v>13042.6</v>
      </c>
      <c r="R10" s="202">
        <f t="shared" ref="R10:R14" si="16">SUM(O10:Q10)</f>
        <v>157880.67300000001</v>
      </c>
      <c r="S10" s="200">
        <f t="shared" ref="S10:S73" si="17">O10*$F$4</f>
        <v>130426</v>
      </c>
      <c r="T10" s="201">
        <f t="shared" si="8"/>
        <v>14412.073</v>
      </c>
      <c r="U10" s="201">
        <f t="shared" si="9"/>
        <v>13042.6</v>
      </c>
      <c r="V10" s="202">
        <f t="shared" ref="V10:V14" si="18">SUM(S10:U10)</f>
        <v>157880.67300000001</v>
      </c>
    </row>
    <row r="11" spans="1:22" x14ac:dyDescent="0.25">
      <c r="A11" s="199" t="s">
        <v>18</v>
      </c>
      <c r="B11" s="177">
        <v>3</v>
      </c>
      <c r="C11" s="200">
        <v>137500</v>
      </c>
      <c r="D11" s="201">
        <f t="shared" si="0"/>
        <v>15193.75</v>
      </c>
      <c r="E11" s="201">
        <f t="shared" si="1"/>
        <v>13750</v>
      </c>
      <c r="F11" s="202">
        <f t="shared" si="10"/>
        <v>166443.75</v>
      </c>
      <c r="G11" s="200">
        <f t="shared" si="11"/>
        <v>137500</v>
      </c>
      <c r="H11" s="201">
        <f t="shared" si="2"/>
        <v>15193.75</v>
      </c>
      <c r="I11" s="201">
        <f t="shared" si="3"/>
        <v>13750</v>
      </c>
      <c r="J11" s="202">
        <f t="shared" si="12"/>
        <v>166443.75</v>
      </c>
      <c r="K11" s="200">
        <f t="shared" si="13"/>
        <v>137500</v>
      </c>
      <c r="L11" s="201">
        <f t="shared" si="4"/>
        <v>15193.75</v>
      </c>
      <c r="M11" s="201">
        <f t="shared" si="5"/>
        <v>13750</v>
      </c>
      <c r="N11" s="202">
        <f t="shared" si="14"/>
        <v>166443.75</v>
      </c>
      <c r="O11" s="200">
        <f t="shared" si="15"/>
        <v>137500</v>
      </c>
      <c r="P11" s="201">
        <f t="shared" si="6"/>
        <v>15193.75</v>
      </c>
      <c r="Q11" s="201">
        <f t="shared" si="7"/>
        <v>13750</v>
      </c>
      <c r="R11" s="202">
        <f t="shared" si="16"/>
        <v>166443.75</v>
      </c>
      <c r="S11" s="200">
        <f t="shared" si="17"/>
        <v>137500</v>
      </c>
      <c r="T11" s="201">
        <f t="shared" si="8"/>
        <v>15193.75</v>
      </c>
      <c r="U11" s="201">
        <f t="shared" si="9"/>
        <v>13750</v>
      </c>
      <c r="V11" s="202">
        <f t="shared" si="18"/>
        <v>166443.75</v>
      </c>
    </row>
    <row r="12" spans="1:22" x14ac:dyDescent="0.25">
      <c r="A12" s="199" t="s">
        <v>19</v>
      </c>
      <c r="B12" s="177">
        <v>4</v>
      </c>
      <c r="C12" s="200">
        <v>144570</v>
      </c>
      <c r="D12" s="201">
        <f t="shared" si="0"/>
        <v>15974.985000000001</v>
      </c>
      <c r="E12" s="201">
        <f t="shared" si="1"/>
        <v>14457</v>
      </c>
      <c r="F12" s="202">
        <f t="shared" si="10"/>
        <v>175001.98499999999</v>
      </c>
      <c r="G12" s="200">
        <f t="shared" si="11"/>
        <v>144570</v>
      </c>
      <c r="H12" s="201">
        <f t="shared" si="2"/>
        <v>15974.985000000001</v>
      </c>
      <c r="I12" s="201">
        <f t="shared" si="3"/>
        <v>14457</v>
      </c>
      <c r="J12" s="202">
        <f t="shared" si="12"/>
        <v>175001.98499999999</v>
      </c>
      <c r="K12" s="200">
        <f t="shared" si="13"/>
        <v>144570</v>
      </c>
      <c r="L12" s="201">
        <f t="shared" si="4"/>
        <v>15974.985000000001</v>
      </c>
      <c r="M12" s="201">
        <f t="shared" si="5"/>
        <v>14457</v>
      </c>
      <c r="N12" s="202">
        <f t="shared" si="14"/>
        <v>175001.98499999999</v>
      </c>
      <c r="O12" s="200">
        <f t="shared" si="15"/>
        <v>144570</v>
      </c>
      <c r="P12" s="201">
        <f t="shared" si="6"/>
        <v>15974.985000000001</v>
      </c>
      <c r="Q12" s="201">
        <f t="shared" si="7"/>
        <v>14457</v>
      </c>
      <c r="R12" s="202">
        <f t="shared" si="16"/>
        <v>175001.98499999999</v>
      </c>
      <c r="S12" s="200">
        <f t="shared" si="17"/>
        <v>144570</v>
      </c>
      <c r="T12" s="201">
        <f t="shared" si="8"/>
        <v>15974.985000000001</v>
      </c>
      <c r="U12" s="201">
        <f t="shared" si="9"/>
        <v>14457</v>
      </c>
      <c r="V12" s="202">
        <f t="shared" si="18"/>
        <v>175001.98499999999</v>
      </c>
    </row>
    <row r="13" spans="1:22" x14ac:dyDescent="0.25">
      <c r="A13" s="199" t="s">
        <v>20</v>
      </c>
      <c r="B13" s="177">
        <v>5</v>
      </c>
      <c r="C13" s="200">
        <v>151649</v>
      </c>
      <c r="D13" s="201">
        <f t="shared" si="0"/>
        <v>16757.214500000002</v>
      </c>
      <c r="E13" s="201">
        <f t="shared" si="1"/>
        <v>15164.900000000001</v>
      </c>
      <c r="F13" s="202">
        <f t="shared" si="10"/>
        <v>183571.1145</v>
      </c>
      <c r="G13" s="200">
        <f t="shared" si="11"/>
        <v>151649</v>
      </c>
      <c r="H13" s="201">
        <f t="shared" si="2"/>
        <v>16757.214500000002</v>
      </c>
      <c r="I13" s="201">
        <f t="shared" si="3"/>
        <v>15164.900000000001</v>
      </c>
      <c r="J13" s="202">
        <f t="shared" si="12"/>
        <v>183571.1145</v>
      </c>
      <c r="K13" s="200">
        <f t="shared" si="13"/>
        <v>151649</v>
      </c>
      <c r="L13" s="201">
        <f t="shared" si="4"/>
        <v>16757.214500000002</v>
      </c>
      <c r="M13" s="201">
        <f t="shared" si="5"/>
        <v>15164.900000000001</v>
      </c>
      <c r="N13" s="202">
        <f t="shared" si="14"/>
        <v>183571.1145</v>
      </c>
      <c r="O13" s="200">
        <f t="shared" si="15"/>
        <v>151649</v>
      </c>
      <c r="P13" s="201">
        <f t="shared" si="6"/>
        <v>16757.214500000002</v>
      </c>
      <c r="Q13" s="201">
        <f t="shared" si="7"/>
        <v>15164.900000000001</v>
      </c>
      <c r="R13" s="202">
        <f t="shared" si="16"/>
        <v>183571.1145</v>
      </c>
      <c r="S13" s="200">
        <f t="shared" si="17"/>
        <v>151649</v>
      </c>
      <c r="T13" s="201">
        <f t="shared" si="8"/>
        <v>16757.214500000002</v>
      </c>
      <c r="U13" s="201">
        <f t="shared" si="9"/>
        <v>15164.900000000001</v>
      </c>
      <c r="V13" s="202">
        <f t="shared" si="18"/>
        <v>183571.1145</v>
      </c>
    </row>
    <row r="14" spans="1:22" ht="15.75" thickBot="1" x14ac:dyDescent="0.3">
      <c r="A14" s="203" t="s">
        <v>21</v>
      </c>
      <c r="B14" s="204">
        <v>6</v>
      </c>
      <c r="C14" s="205">
        <v>154522</v>
      </c>
      <c r="D14" s="206">
        <f t="shared" si="0"/>
        <v>17074.681</v>
      </c>
      <c r="E14" s="206">
        <f t="shared" si="1"/>
        <v>15452.2</v>
      </c>
      <c r="F14" s="207">
        <f t="shared" si="10"/>
        <v>187048.88100000002</v>
      </c>
      <c r="G14" s="205">
        <f t="shared" si="11"/>
        <v>154522</v>
      </c>
      <c r="H14" s="206">
        <f t="shared" si="2"/>
        <v>17074.681</v>
      </c>
      <c r="I14" s="206">
        <f t="shared" si="3"/>
        <v>15452.2</v>
      </c>
      <c r="J14" s="207">
        <f t="shared" si="12"/>
        <v>187048.88100000002</v>
      </c>
      <c r="K14" s="205">
        <f t="shared" si="13"/>
        <v>154522</v>
      </c>
      <c r="L14" s="206">
        <f t="shared" si="4"/>
        <v>17074.681</v>
      </c>
      <c r="M14" s="206">
        <f t="shared" si="5"/>
        <v>15452.2</v>
      </c>
      <c r="N14" s="207">
        <f t="shared" si="14"/>
        <v>187048.88100000002</v>
      </c>
      <c r="O14" s="205">
        <f t="shared" si="15"/>
        <v>154522</v>
      </c>
      <c r="P14" s="206">
        <f t="shared" si="6"/>
        <v>17074.681</v>
      </c>
      <c r="Q14" s="206">
        <f t="shared" si="7"/>
        <v>15452.2</v>
      </c>
      <c r="R14" s="207">
        <f t="shared" si="16"/>
        <v>187048.88100000002</v>
      </c>
      <c r="S14" s="205">
        <f t="shared" si="17"/>
        <v>154522</v>
      </c>
      <c r="T14" s="206">
        <f t="shared" si="8"/>
        <v>17074.681</v>
      </c>
      <c r="U14" s="206">
        <f t="shared" si="9"/>
        <v>15452.2</v>
      </c>
      <c r="V14" s="207">
        <f t="shared" si="18"/>
        <v>187048.88100000002</v>
      </c>
    </row>
    <row r="15" spans="1:22" x14ac:dyDescent="0.25">
      <c r="A15" s="194" t="s">
        <v>22</v>
      </c>
      <c r="B15" s="195">
        <v>1</v>
      </c>
      <c r="C15" s="196">
        <v>117182</v>
      </c>
      <c r="D15" s="197">
        <f t="shared" si="0"/>
        <v>12948.611000000001</v>
      </c>
      <c r="E15" s="197">
        <f t="shared" si="1"/>
        <v>11718.2</v>
      </c>
      <c r="F15" s="198">
        <f>SUM(C15:E15)</f>
        <v>141848.81100000002</v>
      </c>
      <c r="G15" s="196">
        <f t="shared" si="11"/>
        <v>117182</v>
      </c>
      <c r="H15" s="197">
        <f t="shared" si="2"/>
        <v>12948.611000000001</v>
      </c>
      <c r="I15" s="197">
        <f t="shared" si="3"/>
        <v>11718.2</v>
      </c>
      <c r="J15" s="198">
        <f>SUM(G15:I15)</f>
        <v>141848.81100000002</v>
      </c>
      <c r="K15" s="196">
        <f t="shared" si="13"/>
        <v>117182</v>
      </c>
      <c r="L15" s="197">
        <f t="shared" si="4"/>
        <v>12948.611000000001</v>
      </c>
      <c r="M15" s="197">
        <f t="shared" si="5"/>
        <v>11718.2</v>
      </c>
      <c r="N15" s="198">
        <f>SUM(K15:M15)</f>
        <v>141848.81100000002</v>
      </c>
      <c r="O15" s="196">
        <f t="shared" si="15"/>
        <v>117182</v>
      </c>
      <c r="P15" s="197">
        <f t="shared" si="6"/>
        <v>12948.611000000001</v>
      </c>
      <c r="Q15" s="197">
        <f t="shared" si="7"/>
        <v>11718.2</v>
      </c>
      <c r="R15" s="198">
        <f>SUM(O15:Q15)</f>
        <v>141848.81100000002</v>
      </c>
      <c r="S15" s="196">
        <f t="shared" si="17"/>
        <v>117182</v>
      </c>
      <c r="T15" s="197">
        <f t="shared" si="8"/>
        <v>12948.611000000001</v>
      </c>
      <c r="U15" s="197">
        <f t="shared" si="9"/>
        <v>11718.2</v>
      </c>
      <c r="V15" s="198">
        <f>SUM(S15:U15)</f>
        <v>141848.81100000002</v>
      </c>
    </row>
    <row r="16" spans="1:22" x14ac:dyDescent="0.25">
      <c r="A16" s="199" t="s">
        <v>23</v>
      </c>
      <c r="B16" s="177">
        <v>2</v>
      </c>
      <c r="C16" s="200">
        <v>123901</v>
      </c>
      <c r="D16" s="201">
        <f t="shared" si="0"/>
        <v>13691.0605</v>
      </c>
      <c r="E16" s="201">
        <f t="shared" si="1"/>
        <v>12390.1</v>
      </c>
      <c r="F16" s="202">
        <f t="shared" ref="F16:F20" si="19">SUM(C16:E16)</f>
        <v>149982.1605</v>
      </c>
      <c r="G16" s="200">
        <f t="shared" si="11"/>
        <v>123901</v>
      </c>
      <c r="H16" s="201">
        <f t="shared" si="2"/>
        <v>13691.0605</v>
      </c>
      <c r="I16" s="201">
        <f t="shared" si="3"/>
        <v>12390.1</v>
      </c>
      <c r="J16" s="202">
        <f t="shared" ref="J16:J20" si="20">SUM(G16:I16)</f>
        <v>149982.1605</v>
      </c>
      <c r="K16" s="200">
        <f t="shared" si="13"/>
        <v>123901</v>
      </c>
      <c r="L16" s="201">
        <f t="shared" si="4"/>
        <v>13691.0605</v>
      </c>
      <c r="M16" s="201">
        <f t="shared" si="5"/>
        <v>12390.1</v>
      </c>
      <c r="N16" s="202">
        <f t="shared" ref="N16:N20" si="21">SUM(K16:M16)</f>
        <v>149982.1605</v>
      </c>
      <c r="O16" s="200">
        <f t="shared" si="15"/>
        <v>123901</v>
      </c>
      <c r="P16" s="201">
        <f t="shared" si="6"/>
        <v>13691.0605</v>
      </c>
      <c r="Q16" s="201">
        <f t="shared" si="7"/>
        <v>12390.1</v>
      </c>
      <c r="R16" s="202">
        <f t="shared" ref="R16:R20" si="22">SUM(O16:Q16)</f>
        <v>149982.1605</v>
      </c>
      <c r="S16" s="200">
        <f t="shared" si="17"/>
        <v>123901</v>
      </c>
      <c r="T16" s="201">
        <f t="shared" si="8"/>
        <v>13691.0605</v>
      </c>
      <c r="U16" s="201">
        <f t="shared" si="9"/>
        <v>12390.1</v>
      </c>
      <c r="V16" s="202">
        <f t="shared" ref="V16:V20" si="23">SUM(S16:U16)</f>
        <v>149982.1605</v>
      </c>
    </row>
    <row r="17" spans="1:22" x14ac:dyDescent="0.25">
      <c r="A17" s="199" t="s">
        <v>24</v>
      </c>
      <c r="B17" s="177">
        <v>3</v>
      </c>
      <c r="C17" s="200">
        <v>130618</v>
      </c>
      <c r="D17" s="201">
        <f t="shared" si="0"/>
        <v>14433.289000000001</v>
      </c>
      <c r="E17" s="201">
        <f t="shared" si="1"/>
        <v>13061.800000000001</v>
      </c>
      <c r="F17" s="202">
        <f t="shared" si="19"/>
        <v>158113.08899999998</v>
      </c>
      <c r="G17" s="200">
        <f t="shared" si="11"/>
        <v>130618</v>
      </c>
      <c r="H17" s="201">
        <f t="shared" si="2"/>
        <v>14433.289000000001</v>
      </c>
      <c r="I17" s="201">
        <f t="shared" si="3"/>
        <v>13061.800000000001</v>
      </c>
      <c r="J17" s="202">
        <f t="shared" si="20"/>
        <v>158113.08899999998</v>
      </c>
      <c r="K17" s="200">
        <f t="shared" si="13"/>
        <v>130618</v>
      </c>
      <c r="L17" s="201">
        <f t="shared" si="4"/>
        <v>14433.289000000001</v>
      </c>
      <c r="M17" s="201">
        <f t="shared" si="5"/>
        <v>13061.800000000001</v>
      </c>
      <c r="N17" s="202">
        <f t="shared" si="21"/>
        <v>158113.08899999998</v>
      </c>
      <c r="O17" s="200">
        <f t="shared" si="15"/>
        <v>130618</v>
      </c>
      <c r="P17" s="201">
        <f t="shared" si="6"/>
        <v>14433.289000000001</v>
      </c>
      <c r="Q17" s="201">
        <f t="shared" si="7"/>
        <v>13061.800000000001</v>
      </c>
      <c r="R17" s="202">
        <f t="shared" si="22"/>
        <v>158113.08899999998</v>
      </c>
      <c r="S17" s="200">
        <f t="shared" si="17"/>
        <v>130618</v>
      </c>
      <c r="T17" s="201">
        <f t="shared" si="8"/>
        <v>14433.289000000001</v>
      </c>
      <c r="U17" s="201">
        <f t="shared" si="9"/>
        <v>13061.800000000001</v>
      </c>
      <c r="V17" s="202">
        <f t="shared" si="23"/>
        <v>158113.08899999998</v>
      </c>
    </row>
    <row r="18" spans="1:22" x14ac:dyDescent="0.25">
      <c r="A18" s="199" t="s">
        <v>25</v>
      </c>
      <c r="B18" s="177">
        <v>4</v>
      </c>
      <c r="C18" s="200">
        <v>137341</v>
      </c>
      <c r="D18" s="201">
        <f t="shared" si="0"/>
        <v>15176.1805</v>
      </c>
      <c r="E18" s="201">
        <f t="shared" si="1"/>
        <v>13734.1</v>
      </c>
      <c r="F18" s="202">
        <f t="shared" si="19"/>
        <v>166251.28049999999</v>
      </c>
      <c r="G18" s="200">
        <f t="shared" si="11"/>
        <v>137341</v>
      </c>
      <c r="H18" s="201">
        <f t="shared" si="2"/>
        <v>15176.1805</v>
      </c>
      <c r="I18" s="201">
        <f t="shared" si="3"/>
        <v>13734.1</v>
      </c>
      <c r="J18" s="202">
        <f t="shared" si="20"/>
        <v>166251.28049999999</v>
      </c>
      <c r="K18" s="200">
        <f t="shared" si="13"/>
        <v>137341</v>
      </c>
      <c r="L18" s="201">
        <f t="shared" si="4"/>
        <v>15176.1805</v>
      </c>
      <c r="M18" s="201">
        <f t="shared" si="5"/>
        <v>13734.1</v>
      </c>
      <c r="N18" s="202">
        <f t="shared" si="21"/>
        <v>166251.28049999999</v>
      </c>
      <c r="O18" s="200">
        <f t="shared" si="15"/>
        <v>137341</v>
      </c>
      <c r="P18" s="201">
        <f t="shared" si="6"/>
        <v>15176.1805</v>
      </c>
      <c r="Q18" s="201">
        <f t="shared" si="7"/>
        <v>13734.1</v>
      </c>
      <c r="R18" s="202">
        <f t="shared" si="22"/>
        <v>166251.28049999999</v>
      </c>
      <c r="S18" s="200">
        <f t="shared" si="17"/>
        <v>137341</v>
      </c>
      <c r="T18" s="201">
        <f t="shared" si="8"/>
        <v>15176.1805</v>
      </c>
      <c r="U18" s="201">
        <f t="shared" si="9"/>
        <v>13734.1</v>
      </c>
      <c r="V18" s="202">
        <f t="shared" si="23"/>
        <v>166251.28049999999</v>
      </c>
    </row>
    <row r="19" spans="1:22" x14ac:dyDescent="0.25">
      <c r="A19" s="199" t="s">
        <v>26</v>
      </c>
      <c r="B19" s="177">
        <v>5</v>
      </c>
      <c r="C19" s="200">
        <v>144059</v>
      </c>
      <c r="D19" s="201">
        <f t="shared" si="0"/>
        <v>15918.5195</v>
      </c>
      <c r="E19" s="201">
        <f t="shared" si="1"/>
        <v>14405.900000000001</v>
      </c>
      <c r="F19" s="202">
        <f t="shared" si="19"/>
        <v>174383.41949999999</v>
      </c>
      <c r="G19" s="200">
        <f t="shared" si="11"/>
        <v>144059</v>
      </c>
      <c r="H19" s="201">
        <f t="shared" si="2"/>
        <v>15918.5195</v>
      </c>
      <c r="I19" s="201">
        <f t="shared" si="3"/>
        <v>14405.900000000001</v>
      </c>
      <c r="J19" s="202">
        <f t="shared" si="20"/>
        <v>174383.41949999999</v>
      </c>
      <c r="K19" s="200">
        <f t="shared" si="13"/>
        <v>144059</v>
      </c>
      <c r="L19" s="201">
        <f t="shared" si="4"/>
        <v>15918.5195</v>
      </c>
      <c r="M19" s="201">
        <f t="shared" si="5"/>
        <v>14405.900000000001</v>
      </c>
      <c r="N19" s="202">
        <f t="shared" si="21"/>
        <v>174383.41949999999</v>
      </c>
      <c r="O19" s="200">
        <f t="shared" si="15"/>
        <v>144059</v>
      </c>
      <c r="P19" s="201">
        <f t="shared" si="6"/>
        <v>15918.5195</v>
      </c>
      <c r="Q19" s="201">
        <f t="shared" si="7"/>
        <v>14405.900000000001</v>
      </c>
      <c r="R19" s="202">
        <f t="shared" si="22"/>
        <v>174383.41949999999</v>
      </c>
      <c r="S19" s="200">
        <f t="shared" si="17"/>
        <v>144059</v>
      </c>
      <c r="T19" s="201">
        <f t="shared" si="8"/>
        <v>15918.5195</v>
      </c>
      <c r="U19" s="201">
        <f t="shared" si="9"/>
        <v>14405.900000000001</v>
      </c>
      <c r="V19" s="202">
        <f t="shared" si="23"/>
        <v>174383.41949999999</v>
      </c>
    </row>
    <row r="20" spans="1:22" ht="15.75" thickBot="1" x14ac:dyDescent="0.3">
      <c r="A20" s="203" t="s">
        <v>27</v>
      </c>
      <c r="B20" s="204">
        <v>6</v>
      </c>
      <c r="C20" s="205">
        <v>150782</v>
      </c>
      <c r="D20" s="206">
        <f t="shared" si="0"/>
        <v>16661.411</v>
      </c>
      <c r="E20" s="206">
        <f t="shared" si="1"/>
        <v>15078.2</v>
      </c>
      <c r="F20" s="207">
        <f t="shared" si="19"/>
        <v>182521.611</v>
      </c>
      <c r="G20" s="205">
        <f t="shared" si="11"/>
        <v>150782</v>
      </c>
      <c r="H20" s="206">
        <f t="shared" si="2"/>
        <v>16661.411</v>
      </c>
      <c r="I20" s="206">
        <f t="shared" si="3"/>
        <v>15078.2</v>
      </c>
      <c r="J20" s="207">
        <f t="shared" si="20"/>
        <v>182521.611</v>
      </c>
      <c r="K20" s="205">
        <f t="shared" si="13"/>
        <v>150782</v>
      </c>
      <c r="L20" s="206">
        <f t="shared" si="4"/>
        <v>16661.411</v>
      </c>
      <c r="M20" s="206">
        <f t="shared" si="5"/>
        <v>15078.2</v>
      </c>
      <c r="N20" s="207">
        <f t="shared" si="21"/>
        <v>182521.611</v>
      </c>
      <c r="O20" s="205">
        <f t="shared" si="15"/>
        <v>150782</v>
      </c>
      <c r="P20" s="206">
        <f t="shared" si="6"/>
        <v>16661.411</v>
      </c>
      <c r="Q20" s="206">
        <f t="shared" si="7"/>
        <v>15078.2</v>
      </c>
      <c r="R20" s="207">
        <f t="shared" si="22"/>
        <v>182521.611</v>
      </c>
      <c r="S20" s="205">
        <f t="shared" si="17"/>
        <v>150782</v>
      </c>
      <c r="T20" s="206">
        <f t="shared" si="8"/>
        <v>16661.411</v>
      </c>
      <c r="U20" s="206">
        <f t="shared" si="9"/>
        <v>15078.2</v>
      </c>
      <c r="V20" s="207">
        <f t="shared" si="23"/>
        <v>182521.611</v>
      </c>
    </row>
    <row r="21" spans="1:22" x14ac:dyDescent="0.25">
      <c r="A21" s="194" t="s">
        <v>28</v>
      </c>
      <c r="B21" s="195">
        <v>1</v>
      </c>
      <c r="C21" s="196">
        <v>89411</v>
      </c>
      <c r="D21" s="197">
        <f t="shared" si="0"/>
        <v>9879.915500000001</v>
      </c>
      <c r="E21" s="197">
        <f t="shared" si="1"/>
        <v>8941.1</v>
      </c>
      <c r="F21" s="198">
        <f>SUM(C21:E21)</f>
        <v>108232.01550000001</v>
      </c>
      <c r="G21" s="196">
        <f t="shared" si="11"/>
        <v>89411</v>
      </c>
      <c r="H21" s="197">
        <f t="shared" si="2"/>
        <v>9879.915500000001</v>
      </c>
      <c r="I21" s="197">
        <f t="shared" si="3"/>
        <v>8941.1</v>
      </c>
      <c r="J21" s="198">
        <f>SUM(G21:I21)</f>
        <v>108232.01550000001</v>
      </c>
      <c r="K21" s="196">
        <f t="shared" si="13"/>
        <v>89411</v>
      </c>
      <c r="L21" s="197">
        <f t="shared" si="4"/>
        <v>9879.915500000001</v>
      </c>
      <c r="M21" s="197">
        <f t="shared" si="5"/>
        <v>8941.1</v>
      </c>
      <c r="N21" s="198">
        <f>SUM(K21:M21)</f>
        <v>108232.01550000001</v>
      </c>
      <c r="O21" s="196">
        <f t="shared" si="15"/>
        <v>89411</v>
      </c>
      <c r="P21" s="197">
        <f t="shared" si="6"/>
        <v>9879.915500000001</v>
      </c>
      <c r="Q21" s="197">
        <f t="shared" si="7"/>
        <v>8941.1</v>
      </c>
      <c r="R21" s="198">
        <f>SUM(O21:Q21)</f>
        <v>108232.01550000001</v>
      </c>
      <c r="S21" s="196">
        <f t="shared" si="17"/>
        <v>89411</v>
      </c>
      <c r="T21" s="197">
        <f t="shared" si="8"/>
        <v>9879.915500000001</v>
      </c>
      <c r="U21" s="197">
        <f t="shared" si="9"/>
        <v>8941.1</v>
      </c>
      <c r="V21" s="198">
        <f>SUM(S21:U21)</f>
        <v>108232.01550000001</v>
      </c>
    </row>
    <row r="22" spans="1:22" x14ac:dyDescent="0.25">
      <c r="A22" s="199" t="s">
        <v>29</v>
      </c>
      <c r="B22" s="177">
        <v>2</v>
      </c>
      <c r="C22" s="200">
        <v>95423</v>
      </c>
      <c r="D22" s="201">
        <f t="shared" si="0"/>
        <v>10544.2415</v>
      </c>
      <c r="E22" s="201">
        <f t="shared" si="1"/>
        <v>9542.3000000000011</v>
      </c>
      <c r="F22" s="202">
        <f t="shared" ref="F22:F26" si="24">SUM(C22:E22)</f>
        <v>115509.54150000001</v>
      </c>
      <c r="G22" s="200">
        <f t="shared" si="11"/>
        <v>95423</v>
      </c>
      <c r="H22" s="201">
        <f t="shared" si="2"/>
        <v>10544.2415</v>
      </c>
      <c r="I22" s="201">
        <f t="shared" si="3"/>
        <v>9542.3000000000011</v>
      </c>
      <c r="J22" s="202">
        <f t="shared" ref="J22:J26" si="25">SUM(G22:I22)</f>
        <v>115509.54150000001</v>
      </c>
      <c r="K22" s="200">
        <f t="shared" si="13"/>
        <v>95423</v>
      </c>
      <c r="L22" s="201">
        <f t="shared" si="4"/>
        <v>10544.2415</v>
      </c>
      <c r="M22" s="201">
        <f t="shared" si="5"/>
        <v>9542.3000000000011</v>
      </c>
      <c r="N22" s="202">
        <f t="shared" ref="N22:N26" si="26">SUM(K22:M22)</f>
        <v>115509.54150000001</v>
      </c>
      <c r="O22" s="200">
        <f t="shared" si="15"/>
        <v>95423</v>
      </c>
      <c r="P22" s="201">
        <f t="shared" si="6"/>
        <v>10544.2415</v>
      </c>
      <c r="Q22" s="201">
        <f t="shared" si="7"/>
        <v>9542.3000000000011</v>
      </c>
      <c r="R22" s="202">
        <f t="shared" ref="R22:R26" si="27">SUM(O22:Q22)</f>
        <v>115509.54150000001</v>
      </c>
      <c r="S22" s="200">
        <f t="shared" si="17"/>
        <v>95423</v>
      </c>
      <c r="T22" s="201">
        <f t="shared" si="8"/>
        <v>10544.2415</v>
      </c>
      <c r="U22" s="201">
        <f t="shared" si="9"/>
        <v>9542.3000000000011</v>
      </c>
      <c r="V22" s="202">
        <f t="shared" ref="V22:V26" si="28">SUM(S22:U22)</f>
        <v>115509.54150000001</v>
      </c>
    </row>
    <row r="23" spans="1:22" x14ac:dyDescent="0.25">
      <c r="A23" s="199" t="s">
        <v>30</v>
      </c>
      <c r="B23" s="177">
        <v>3</v>
      </c>
      <c r="C23" s="200">
        <v>101448</v>
      </c>
      <c r="D23" s="201">
        <f t="shared" si="0"/>
        <v>11210.004000000001</v>
      </c>
      <c r="E23" s="201">
        <f t="shared" si="1"/>
        <v>10144.800000000001</v>
      </c>
      <c r="F23" s="202">
        <f t="shared" si="24"/>
        <v>122802.804</v>
      </c>
      <c r="G23" s="200">
        <f t="shared" si="11"/>
        <v>101448</v>
      </c>
      <c r="H23" s="201">
        <f t="shared" si="2"/>
        <v>11210.004000000001</v>
      </c>
      <c r="I23" s="201">
        <f t="shared" si="3"/>
        <v>10144.800000000001</v>
      </c>
      <c r="J23" s="202">
        <f t="shared" si="25"/>
        <v>122802.804</v>
      </c>
      <c r="K23" s="200">
        <f t="shared" si="13"/>
        <v>101448</v>
      </c>
      <c r="L23" s="201">
        <f t="shared" si="4"/>
        <v>11210.004000000001</v>
      </c>
      <c r="M23" s="201">
        <f t="shared" si="5"/>
        <v>10144.800000000001</v>
      </c>
      <c r="N23" s="202">
        <f t="shared" si="26"/>
        <v>122802.804</v>
      </c>
      <c r="O23" s="200">
        <f t="shared" si="15"/>
        <v>101448</v>
      </c>
      <c r="P23" s="201">
        <f t="shared" si="6"/>
        <v>11210.004000000001</v>
      </c>
      <c r="Q23" s="201">
        <f t="shared" si="7"/>
        <v>10144.800000000001</v>
      </c>
      <c r="R23" s="202">
        <f t="shared" si="27"/>
        <v>122802.804</v>
      </c>
      <c r="S23" s="200">
        <f t="shared" si="17"/>
        <v>101448</v>
      </c>
      <c r="T23" s="201">
        <f t="shared" si="8"/>
        <v>11210.004000000001</v>
      </c>
      <c r="U23" s="201">
        <f t="shared" si="9"/>
        <v>10144.800000000001</v>
      </c>
      <c r="V23" s="202">
        <f t="shared" si="28"/>
        <v>122802.804</v>
      </c>
    </row>
    <row r="24" spans="1:22" x14ac:dyDescent="0.25">
      <c r="A24" s="199" t="s">
        <v>31</v>
      </c>
      <c r="B24" s="177">
        <v>4</v>
      </c>
      <c r="C24" s="200">
        <v>107466</v>
      </c>
      <c r="D24" s="201">
        <f t="shared" si="0"/>
        <v>11874.993</v>
      </c>
      <c r="E24" s="201">
        <f t="shared" si="1"/>
        <v>10746.6</v>
      </c>
      <c r="F24" s="202">
        <f t="shared" si="24"/>
        <v>130087.59300000001</v>
      </c>
      <c r="G24" s="200">
        <f t="shared" si="11"/>
        <v>107466</v>
      </c>
      <c r="H24" s="201">
        <f t="shared" si="2"/>
        <v>11874.993</v>
      </c>
      <c r="I24" s="201">
        <f t="shared" si="3"/>
        <v>10746.6</v>
      </c>
      <c r="J24" s="202">
        <f t="shared" si="25"/>
        <v>130087.59300000001</v>
      </c>
      <c r="K24" s="200">
        <f t="shared" si="13"/>
        <v>107466</v>
      </c>
      <c r="L24" s="201">
        <f t="shared" si="4"/>
        <v>11874.993</v>
      </c>
      <c r="M24" s="201">
        <f t="shared" si="5"/>
        <v>10746.6</v>
      </c>
      <c r="N24" s="202">
        <f t="shared" si="26"/>
        <v>130087.59300000001</v>
      </c>
      <c r="O24" s="200">
        <f t="shared" si="15"/>
        <v>107466</v>
      </c>
      <c r="P24" s="201">
        <f t="shared" si="6"/>
        <v>11874.993</v>
      </c>
      <c r="Q24" s="201">
        <f t="shared" si="7"/>
        <v>10746.6</v>
      </c>
      <c r="R24" s="202">
        <f t="shared" si="27"/>
        <v>130087.59300000001</v>
      </c>
      <c r="S24" s="200">
        <f t="shared" si="17"/>
        <v>107466</v>
      </c>
      <c r="T24" s="201">
        <f t="shared" si="8"/>
        <v>11874.993</v>
      </c>
      <c r="U24" s="201">
        <f t="shared" si="9"/>
        <v>10746.6</v>
      </c>
      <c r="V24" s="202">
        <f t="shared" si="28"/>
        <v>130087.59300000001</v>
      </c>
    </row>
    <row r="25" spans="1:22" x14ac:dyDescent="0.25">
      <c r="A25" s="199" t="s">
        <v>32</v>
      </c>
      <c r="B25" s="177">
        <v>5</v>
      </c>
      <c r="C25" s="200">
        <v>113492</v>
      </c>
      <c r="D25" s="201">
        <f t="shared" si="0"/>
        <v>12540.866</v>
      </c>
      <c r="E25" s="201">
        <f t="shared" si="1"/>
        <v>11349.2</v>
      </c>
      <c r="F25" s="202">
        <f t="shared" si="24"/>
        <v>137382.06599999999</v>
      </c>
      <c r="G25" s="200">
        <f t="shared" si="11"/>
        <v>113492</v>
      </c>
      <c r="H25" s="201">
        <f t="shared" si="2"/>
        <v>12540.866</v>
      </c>
      <c r="I25" s="201">
        <f t="shared" si="3"/>
        <v>11349.2</v>
      </c>
      <c r="J25" s="202">
        <f t="shared" si="25"/>
        <v>137382.06599999999</v>
      </c>
      <c r="K25" s="200">
        <f t="shared" si="13"/>
        <v>113492</v>
      </c>
      <c r="L25" s="201">
        <f t="shared" si="4"/>
        <v>12540.866</v>
      </c>
      <c r="M25" s="201">
        <f t="shared" si="5"/>
        <v>11349.2</v>
      </c>
      <c r="N25" s="202">
        <f t="shared" si="26"/>
        <v>137382.06599999999</v>
      </c>
      <c r="O25" s="200">
        <f t="shared" si="15"/>
        <v>113492</v>
      </c>
      <c r="P25" s="201">
        <f t="shared" si="6"/>
        <v>12540.866</v>
      </c>
      <c r="Q25" s="201">
        <f t="shared" si="7"/>
        <v>11349.2</v>
      </c>
      <c r="R25" s="202">
        <f t="shared" si="27"/>
        <v>137382.06599999999</v>
      </c>
      <c r="S25" s="200">
        <f t="shared" si="17"/>
        <v>113492</v>
      </c>
      <c r="T25" s="201">
        <f t="shared" si="8"/>
        <v>12540.866</v>
      </c>
      <c r="U25" s="201">
        <f t="shared" si="9"/>
        <v>11349.2</v>
      </c>
      <c r="V25" s="202">
        <f t="shared" si="28"/>
        <v>137382.06599999999</v>
      </c>
    </row>
    <row r="26" spans="1:22" ht="15.75" thickBot="1" x14ac:dyDescent="0.3">
      <c r="A26" s="203" t="s">
        <v>33</v>
      </c>
      <c r="B26" s="204">
        <v>6</v>
      </c>
      <c r="C26" s="205">
        <v>119509</v>
      </c>
      <c r="D26" s="206">
        <f t="shared" si="0"/>
        <v>13205.744500000001</v>
      </c>
      <c r="E26" s="206">
        <f t="shared" si="1"/>
        <v>11950.900000000001</v>
      </c>
      <c r="F26" s="207">
        <f t="shared" si="24"/>
        <v>144665.64449999999</v>
      </c>
      <c r="G26" s="205">
        <f t="shared" si="11"/>
        <v>119509</v>
      </c>
      <c r="H26" s="206">
        <f t="shared" si="2"/>
        <v>13205.744500000001</v>
      </c>
      <c r="I26" s="206">
        <f t="shared" si="3"/>
        <v>11950.900000000001</v>
      </c>
      <c r="J26" s="207">
        <f t="shared" si="25"/>
        <v>144665.64449999999</v>
      </c>
      <c r="K26" s="205">
        <f t="shared" si="13"/>
        <v>119509</v>
      </c>
      <c r="L26" s="206">
        <f t="shared" si="4"/>
        <v>13205.744500000001</v>
      </c>
      <c r="M26" s="206">
        <f t="shared" si="5"/>
        <v>11950.900000000001</v>
      </c>
      <c r="N26" s="207">
        <f t="shared" si="26"/>
        <v>144665.64449999999</v>
      </c>
      <c r="O26" s="205">
        <f t="shared" si="15"/>
        <v>119509</v>
      </c>
      <c r="P26" s="206">
        <f t="shared" si="6"/>
        <v>13205.744500000001</v>
      </c>
      <c r="Q26" s="206">
        <f t="shared" si="7"/>
        <v>11950.900000000001</v>
      </c>
      <c r="R26" s="207">
        <f t="shared" si="27"/>
        <v>144665.64449999999</v>
      </c>
      <c r="S26" s="205">
        <f t="shared" si="17"/>
        <v>119509</v>
      </c>
      <c r="T26" s="206">
        <f t="shared" si="8"/>
        <v>13205.744500000001</v>
      </c>
      <c r="U26" s="206">
        <f t="shared" si="9"/>
        <v>11950.900000000001</v>
      </c>
      <c r="V26" s="207">
        <f t="shared" si="28"/>
        <v>144665.64449999999</v>
      </c>
    </row>
    <row r="27" spans="1:22" x14ac:dyDescent="0.25">
      <c r="A27" s="194" t="s">
        <v>34</v>
      </c>
      <c r="B27" s="195">
        <v>1</v>
      </c>
      <c r="C27" s="196">
        <v>84938</v>
      </c>
      <c r="D27" s="197">
        <f t="shared" si="0"/>
        <v>9385.6489999999994</v>
      </c>
      <c r="E27" s="197">
        <f t="shared" si="1"/>
        <v>8493.8000000000011</v>
      </c>
      <c r="F27" s="198">
        <f>SUM(C27:E27)</f>
        <v>102817.44900000001</v>
      </c>
      <c r="G27" s="196">
        <f t="shared" si="11"/>
        <v>84938</v>
      </c>
      <c r="H27" s="197">
        <f t="shared" si="2"/>
        <v>9385.6489999999994</v>
      </c>
      <c r="I27" s="197">
        <f t="shared" si="3"/>
        <v>8493.8000000000011</v>
      </c>
      <c r="J27" s="198">
        <f>SUM(G27:I27)</f>
        <v>102817.44900000001</v>
      </c>
      <c r="K27" s="196">
        <f t="shared" si="13"/>
        <v>84938</v>
      </c>
      <c r="L27" s="197">
        <f t="shared" si="4"/>
        <v>9385.6489999999994</v>
      </c>
      <c r="M27" s="197">
        <f t="shared" si="5"/>
        <v>8493.8000000000011</v>
      </c>
      <c r="N27" s="198">
        <f>SUM(K27:M27)</f>
        <v>102817.44900000001</v>
      </c>
      <c r="O27" s="196">
        <f t="shared" si="15"/>
        <v>84938</v>
      </c>
      <c r="P27" s="197">
        <f t="shared" si="6"/>
        <v>9385.6489999999994</v>
      </c>
      <c r="Q27" s="197">
        <f t="shared" si="7"/>
        <v>8493.8000000000011</v>
      </c>
      <c r="R27" s="198">
        <f>SUM(O27:Q27)</f>
        <v>102817.44900000001</v>
      </c>
      <c r="S27" s="196">
        <f t="shared" si="17"/>
        <v>84938</v>
      </c>
      <c r="T27" s="197">
        <f t="shared" si="8"/>
        <v>9385.6489999999994</v>
      </c>
      <c r="U27" s="197">
        <f t="shared" si="9"/>
        <v>8493.8000000000011</v>
      </c>
      <c r="V27" s="198">
        <f>SUM(S27:U27)</f>
        <v>102817.44900000001</v>
      </c>
    </row>
    <row r="28" spans="1:22" x14ac:dyDescent="0.25">
      <c r="A28" s="199" t="s">
        <v>35</v>
      </c>
      <c r="B28" s="177">
        <v>2</v>
      </c>
      <c r="C28" s="200">
        <v>90655</v>
      </c>
      <c r="D28" s="201">
        <f t="shared" si="0"/>
        <v>10017.377500000001</v>
      </c>
      <c r="E28" s="201">
        <f t="shared" si="1"/>
        <v>9065.5</v>
      </c>
      <c r="F28" s="202">
        <f t="shared" ref="F28:F32" si="29">SUM(C28:E28)</f>
        <v>109737.8775</v>
      </c>
      <c r="G28" s="200">
        <f t="shared" si="11"/>
        <v>90655</v>
      </c>
      <c r="H28" s="201">
        <f t="shared" si="2"/>
        <v>10017.377500000001</v>
      </c>
      <c r="I28" s="201">
        <f t="shared" si="3"/>
        <v>9065.5</v>
      </c>
      <c r="J28" s="202">
        <f t="shared" ref="J28:J32" si="30">SUM(G28:I28)</f>
        <v>109737.8775</v>
      </c>
      <c r="K28" s="200">
        <f t="shared" si="13"/>
        <v>90655</v>
      </c>
      <c r="L28" s="201">
        <f t="shared" si="4"/>
        <v>10017.377500000001</v>
      </c>
      <c r="M28" s="201">
        <f t="shared" si="5"/>
        <v>9065.5</v>
      </c>
      <c r="N28" s="202">
        <f t="shared" ref="N28:N32" si="31">SUM(K28:M28)</f>
        <v>109737.8775</v>
      </c>
      <c r="O28" s="200">
        <f t="shared" si="15"/>
        <v>90655</v>
      </c>
      <c r="P28" s="201">
        <f t="shared" si="6"/>
        <v>10017.377500000001</v>
      </c>
      <c r="Q28" s="201">
        <f t="shared" si="7"/>
        <v>9065.5</v>
      </c>
      <c r="R28" s="202">
        <f t="shared" ref="R28:R32" si="32">SUM(O28:Q28)</f>
        <v>109737.8775</v>
      </c>
      <c r="S28" s="200">
        <f t="shared" si="17"/>
        <v>90655</v>
      </c>
      <c r="T28" s="201">
        <f t="shared" si="8"/>
        <v>10017.377500000001</v>
      </c>
      <c r="U28" s="201">
        <f t="shared" si="9"/>
        <v>9065.5</v>
      </c>
      <c r="V28" s="202">
        <f t="shared" ref="V28:V32" si="33">SUM(S28:U28)</f>
        <v>109737.8775</v>
      </c>
    </row>
    <row r="29" spans="1:22" x14ac:dyDescent="0.25">
      <c r="A29" s="199" t="s">
        <v>36</v>
      </c>
      <c r="B29" s="177">
        <v>3</v>
      </c>
      <c r="C29" s="200">
        <v>96380</v>
      </c>
      <c r="D29" s="201">
        <f t="shared" si="0"/>
        <v>10649.99</v>
      </c>
      <c r="E29" s="201">
        <f t="shared" si="1"/>
        <v>9638</v>
      </c>
      <c r="F29" s="202">
        <f t="shared" si="29"/>
        <v>116667.99</v>
      </c>
      <c r="G29" s="200">
        <f t="shared" si="11"/>
        <v>96380</v>
      </c>
      <c r="H29" s="201">
        <f t="shared" si="2"/>
        <v>10649.99</v>
      </c>
      <c r="I29" s="201">
        <f t="shared" si="3"/>
        <v>9638</v>
      </c>
      <c r="J29" s="202">
        <f t="shared" si="30"/>
        <v>116667.99</v>
      </c>
      <c r="K29" s="200">
        <f t="shared" si="13"/>
        <v>96380</v>
      </c>
      <c r="L29" s="201">
        <f t="shared" si="4"/>
        <v>10649.99</v>
      </c>
      <c r="M29" s="201">
        <f t="shared" si="5"/>
        <v>9638</v>
      </c>
      <c r="N29" s="202">
        <f t="shared" si="31"/>
        <v>116667.99</v>
      </c>
      <c r="O29" s="200">
        <f t="shared" si="15"/>
        <v>96380</v>
      </c>
      <c r="P29" s="201">
        <f t="shared" si="6"/>
        <v>10649.99</v>
      </c>
      <c r="Q29" s="201">
        <f t="shared" si="7"/>
        <v>9638</v>
      </c>
      <c r="R29" s="202">
        <f t="shared" si="32"/>
        <v>116667.99</v>
      </c>
      <c r="S29" s="200">
        <f t="shared" si="17"/>
        <v>96380</v>
      </c>
      <c r="T29" s="201">
        <f t="shared" si="8"/>
        <v>10649.99</v>
      </c>
      <c r="U29" s="201">
        <f t="shared" si="9"/>
        <v>9638</v>
      </c>
      <c r="V29" s="202">
        <f t="shared" si="33"/>
        <v>116667.99</v>
      </c>
    </row>
    <row r="30" spans="1:22" x14ac:dyDescent="0.25">
      <c r="A30" s="199" t="s">
        <v>37</v>
      </c>
      <c r="B30" s="177">
        <v>4</v>
      </c>
      <c r="C30" s="200">
        <v>102096</v>
      </c>
      <c r="D30" s="201">
        <f t="shared" si="0"/>
        <v>11281.608</v>
      </c>
      <c r="E30" s="201">
        <f t="shared" si="1"/>
        <v>10209.6</v>
      </c>
      <c r="F30" s="202">
        <f t="shared" si="29"/>
        <v>123587.20800000001</v>
      </c>
      <c r="G30" s="200">
        <f t="shared" si="11"/>
        <v>102096</v>
      </c>
      <c r="H30" s="201">
        <f t="shared" si="2"/>
        <v>11281.608</v>
      </c>
      <c r="I30" s="201">
        <f t="shared" si="3"/>
        <v>10209.6</v>
      </c>
      <c r="J30" s="202">
        <f t="shared" si="30"/>
        <v>123587.20800000001</v>
      </c>
      <c r="K30" s="200">
        <f t="shared" si="13"/>
        <v>102096</v>
      </c>
      <c r="L30" s="201">
        <f t="shared" si="4"/>
        <v>11281.608</v>
      </c>
      <c r="M30" s="201">
        <f t="shared" si="5"/>
        <v>10209.6</v>
      </c>
      <c r="N30" s="202">
        <f t="shared" si="31"/>
        <v>123587.20800000001</v>
      </c>
      <c r="O30" s="200">
        <f t="shared" si="15"/>
        <v>102096</v>
      </c>
      <c r="P30" s="201">
        <f t="shared" si="6"/>
        <v>11281.608</v>
      </c>
      <c r="Q30" s="201">
        <f t="shared" si="7"/>
        <v>10209.6</v>
      </c>
      <c r="R30" s="202">
        <f t="shared" si="32"/>
        <v>123587.20800000001</v>
      </c>
      <c r="S30" s="200">
        <f t="shared" si="17"/>
        <v>102096</v>
      </c>
      <c r="T30" s="201">
        <f t="shared" si="8"/>
        <v>11281.608</v>
      </c>
      <c r="U30" s="201">
        <f t="shared" si="9"/>
        <v>10209.6</v>
      </c>
      <c r="V30" s="202">
        <f t="shared" si="33"/>
        <v>123587.20800000001</v>
      </c>
    </row>
    <row r="31" spans="1:22" x14ac:dyDescent="0.25">
      <c r="A31" s="199" t="s">
        <v>38</v>
      </c>
      <c r="B31" s="177">
        <v>5</v>
      </c>
      <c r="C31" s="200">
        <v>107818</v>
      </c>
      <c r="D31" s="201">
        <f t="shared" si="0"/>
        <v>11913.888999999999</v>
      </c>
      <c r="E31" s="201">
        <f t="shared" si="1"/>
        <v>10781.800000000001</v>
      </c>
      <c r="F31" s="202">
        <f t="shared" si="29"/>
        <v>130513.689</v>
      </c>
      <c r="G31" s="200">
        <f t="shared" si="11"/>
        <v>107818</v>
      </c>
      <c r="H31" s="201">
        <f t="shared" si="2"/>
        <v>11913.888999999999</v>
      </c>
      <c r="I31" s="201">
        <f t="shared" si="3"/>
        <v>10781.800000000001</v>
      </c>
      <c r="J31" s="202">
        <f t="shared" si="30"/>
        <v>130513.689</v>
      </c>
      <c r="K31" s="200">
        <f t="shared" si="13"/>
        <v>107818</v>
      </c>
      <c r="L31" s="201">
        <f t="shared" si="4"/>
        <v>11913.888999999999</v>
      </c>
      <c r="M31" s="201">
        <f t="shared" si="5"/>
        <v>10781.800000000001</v>
      </c>
      <c r="N31" s="202">
        <f t="shared" si="31"/>
        <v>130513.689</v>
      </c>
      <c r="O31" s="200">
        <f t="shared" si="15"/>
        <v>107818</v>
      </c>
      <c r="P31" s="201">
        <f t="shared" si="6"/>
        <v>11913.888999999999</v>
      </c>
      <c r="Q31" s="201">
        <f t="shared" si="7"/>
        <v>10781.800000000001</v>
      </c>
      <c r="R31" s="202">
        <f t="shared" si="32"/>
        <v>130513.689</v>
      </c>
      <c r="S31" s="200">
        <f t="shared" si="17"/>
        <v>107818</v>
      </c>
      <c r="T31" s="201">
        <f t="shared" si="8"/>
        <v>11913.888999999999</v>
      </c>
      <c r="U31" s="201">
        <f t="shared" si="9"/>
        <v>10781.800000000001</v>
      </c>
      <c r="V31" s="202">
        <f t="shared" si="33"/>
        <v>130513.689</v>
      </c>
    </row>
    <row r="32" spans="1:22" ht="15.75" thickBot="1" x14ac:dyDescent="0.3">
      <c r="A32" s="203" t="s">
        <v>39</v>
      </c>
      <c r="B32" s="204">
        <v>6</v>
      </c>
      <c r="C32" s="205">
        <v>113535</v>
      </c>
      <c r="D32" s="206">
        <f t="shared" si="0"/>
        <v>12545.6175</v>
      </c>
      <c r="E32" s="206">
        <f t="shared" si="1"/>
        <v>11353.5</v>
      </c>
      <c r="F32" s="207">
        <f t="shared" si="29"/>
        <v>137434.11749999999</v>
      </c>
      <c r="G32" s="205">
        <f t="shared" si="11"/>
        <v>113535</v>
      </c>
      <c r="H32" s="206">
        <f t="shared" si="2"/>
        <v>12545.6175</v>
      </c>
      <c r="I32" s="206">
        <f t="shared" si="3"/>
        <v>11353.5</v>
      </c>
      <c r="J32" s="207">
        <f t="shared" si="30"/>
        <v>137434.11749999999</v>
      </c>
      <c r="K32" s="205">
        <f t="shared" si="13"/>
        <v>113535</v>
      </c>
      <c r="L32" s="206">
        <f t="shared" si="4"/>
        <v>12545.6175</v>
      </c>
      <c r="M32" s="206">
        <f t="shared" si="5"/>
        <v>11353.5</v>
      </c>
      <c r="N32" s="207">
        <f t="shared" si="31"/>
        <v>137434.11749999999</v>
      </c>
      <c r="O32" s="205">
        <f t="shared" si="15"/>
        <v>113535</v>
      </c>
      <c r="P32" s="206">
        <f t="shared" si="6"/>
        <v>12545.6175</v>
      </c>
      <c r="Q32" s="206">
        <f t="shared" si="7"/>
        <v>11353.5</v>
      </c>
      <c r="R32" s="207">
        <f t="shared" si="32"/>
        <v>137434.11749999999</v>
      </c>
      <c r="S32" s="205">
        <f t="shared" si="17"/>
        <v>113535</v>
      </c>
      <c r="T32" s="206">
        <f t="shared" si="8"/>
        <v>12545.6175</v>
      </c>
      <c r="U32" s="206">
        <f t="shared" si="9"/>
        <v>11353.5</v>
      </c>
      <c r="V32" s="207">
        <f t="shared" si="33"/>
        <v>137434.11749999999</v>
      </c>
    </row>
    <row r="33" spans="1:22" x14ac:dyDescent="0.25">
      <c r="A33" s="194" t="s">
        <v>40</v>
      </c>
      <c r="B33" s="195">
        <v>1</v>
      </c>
      <c r="C33" s="196">
        <v>72011</v>
      </c>
      <c r="D33" s="197">
        <f t="shared" si="0"/>
        <v>7957.2155000000002</v>
      </c>
      <c r="E33" s="197">
        <f t="shared" si="1"/>
        <v>7201.1</v>
      </c>
      <c r="F33" s="198">
        <f>SUM(C33:E33)</f>
        <v>87169.315500000012</v>
      </c>
      <c r="G33" s="196">
        <f t="shared" si="11"/>
        <v>72011</v>
      </c>
      <c r="H33" s="197">
        <f t="shared" si="2"/>
        <v>7957.2155000000002</v>
      </c>
      <c r="I33" s="197">
        <f t="shared" si="3"/>
        <v>7201.1</v>
      </c>
      <c r="J33" s="198">
        <f>SUM(G33:I33)</f>
        <v>87169.315500000012</v>
      </c>
      <c r="K33" s="196">
        <f t="shared" si="13"/>
        <v>72011</v>
      </c>
      <c r="L33" s="197">
        <f t="shared" si="4"/>
        <v>7957.2155000000002</v>
      </c>
      <c r="M33" s="197">
        <f t="shared" si="5"/>
        <v>7201.1</v>
      </c>
      <c r="N33" s="198">
        <f>SUM(K33:M33)</f>
        <v>87169.315500000012</v>
      </c>
      <c r="O33" s="196">
        <f t="shared" si="15"/>
        <v>72011</v>
      </c>
      <c r="P33" s="197">
        <f t="shared" si="6"/>
        <v>7957.2155000000002</v>
      </c>
      <c r="Q33" s="197">
        <f t="shared" si="7"/>
        <v>7201.1</v>
      </c>
      <c r="R33" s="198">
        <f>SUM(O33:Q33)</f>
        <v>87169.315500000012</v>
      </c>
      <c r="S33" s="196">
        <f t="shared" si="17"/>
        <v>72011</v>
      </c>
      <c r="T33" s="197">
        <f t="shared" si="8"/>
        <v>7957.2155000000002</v>
      </c>
      <c r="U33" s="197">
        <f t="shared" si="9"/>
        <v>7201.1</v>
      </c>
      <c r="V33" s="198">
        <f>SUM(S33:U33)</f>
        <v>87169.315500000012</v>
      </c>
    </row>
    <row r="34" spans="1:22" x14ac:dyDescent="0.25">
      <c r="A34" s="199" t="s">
        <v>41</v>
      </c>
      <c r="B34" s="177">
        <v>2</v>
      </c>
      <c r="C34" s="200">
        <v>76270</v>
      </c>
      <c r="D34" s="201">
        <f t="shared" si="0"/>
        <v>8427.8350000000009</v>
      </c>
      <c r="E34" s="201">
        <f t="shared" si="1"/>
        <v>7627</v>
      </c>
      <c r="F34" s="202">
        <f t="shared" ref="F34:F40" si="34">SUM(C34:E34)</f>
        <v>92324.835000000006</v>
      </c>
      <c r="G34" s="200">
        <f t="shared" si="11"/>
        <v>76270</v>
      </c>
      <c r="H34" s="201">
        <f t="shared" si="2"/>
        <v>8427.8350000000009</v>
      </c>
      <c r="I34" s="201">
        <f t="shared" si="3"/>
        <v>7627</v>
      </c>
      <c r="J34" s="202">
        <f t="shared" ref="J34:J40" si="35">SUM(G34:I34)</f>
        <v>92324.835000000006</v>
      </c>
      <c r="K34" s="200">
        <f t="shared" si="13"/>
        <v>76270</v>
      </c>
      <c r="L34" s="201">
        <f t="shared" si="4"/>
        <v>8427.8350000000009</v>
      </c>
      <c r="M34" s="201">
        <f t="shared" si="5"/>
        <v>7627</v>
      </c>
      <c r="N34" s="202">
        <f t="shared" ref="N34:N40" si="36">SUM(K34:M34)</f>
        <v>92324.835000000006</v>
      </c>
      <c r="O34" s="200">
        <f t="shared" si="15"/>
        <v>76270</v>
      </c>
      <c r="P34" s="201">
        <f t="shared" si="6"/>
        <v>8427.8350000000009</v>
      </c>
      <c r="Q34" s="201">
        <f t="shared" si="7"/>
        <v>7627</v>
      </c>
      <c r="R34" s="202">
        <f t="shared" ref="R34:R40" si="37">SUM(O34:Q34)</f>
        <v>92324.835000000006</v>
      </c>
      <c r="S34" s="200">
        <f t="shared" si="17"/>
        <v>76270</v>
      </c>
      <c r="T34" s="201">
        <f t="shared" si="8"/>
        <v>8427.8350000000009</v>
      </c>
      <c r="U34" s="201">
        <f t="shared" si="9"/>
        <v>7627</v>
      </c>
      <c r="V34" s="202">
        <f t="shared" ref="V34:V40" si="38">SUM(S34:U34)</f>
        <v>92324.835000000006</v>
      </c>
    </row>
    <row r="35" spans="1:22" x14ac:dyDescent="0.25">
      <c r="A35" s="199" t="s">
        <v>42</v>
      </c>
      <c r="B35" s="177">
        <v>3</v>
      </c>
      <c r="C35" s="200">
        <v>80519</v>
      </c>
      <c r="D35" s="201">
        <f t="shared" si="0"/>
        <v>8897.3495000000003</v>
      </c>
      <c r="E35" s="201">
        <f t="shared" si="1"/>
        <v>8051.9000000000005</v>
      </c>
      <c r="F35" s="202">
        <f t="shared" si="34"/>
        <v>97468.249499999991</v>
      </c>
      <c r="G35" s="200">
        <f t="shared" si="11"/>
        <v>80519</v>
      </c>
      <c r="H35" s="201">
        <f t="shared" si="2"/>
        <v>8897.3495000000003</v>
      </c>
      <c r="I35" s="201">
        <f t="shared" si="3"/>
        <v>8051.9000000000005</v>
      </c>
      <c r="J35" s="202">
        <f t="shared" si="35"/>
        <v>97468.249499999991</v>
      </c>
      <c r="K35" s="200">
        <f t="shared" si="13"/>
        <v>80519</v>
      </c>
      <c r="L35" s="201">
        <f t="shared" si="4"/>
        <v>8897.3495000000003</v>
      </c>
      <c r="M35" s="201">
        <f t="shared" si="5"/>
        <v>8051.9000000000005</v>
      </c>
      <c r="N35" s="202">
        <f t="shared" si="36"/>
        <v>97468.249499999991</v>
      </c>
      <c r="O35" s="200">
        <f t="shared" si="15"/>
        <v>80519</v>
      </c>
      <c r="P35" s="201">
        <f t="shared" si="6"/>
        <v>8897.3495000000003</v>
      </c>
      <c r="Q35" s="201">
        <f t="shared" si="7"/>
        <v>8051.9000000000005</v>
      </c>
      <c r="R35" s="202">
        <f t="shared" si="37"/>
        <v>97468.249499999991</v>
      </c>
      <c r="S35" s="200">
        <f t="shared" si="17"/>
        <v>80519</v>
      </c>
      <c r="T35" s="201">
        <f t="shared" si="8"/>
        <v>8897.3495000000003</v>
      </c>
      <c r="U35" s="201">
        <f t="shared" si="9"/>
        <v>8051.9000000000005</v>
      </c>
      <c r="V35" s="202">
        <f t="shared" si="38"/>
        <v>97468.249499999991</v>
      </c>
    </row>
    <row r="36" spans="1:22" x14ac:dyDescent="0.25">
      <c r="A36" s="199" t="s">
        <v>43</v>
      </c>
      <c r="B36" s="177">
        <v>4</v>
      </c>
      <c r="C36" s="200">
        <v>84748</v>
      </c>
      <c r="D36" s="201">
        <f t="shared" si="0"/>
        <v>9364.6540000000005</v>
      </c>
      <c r="E36" s="201">
        <f t="shared" si="1"/>
        <v>8474.8000000000011</v>
      </c>
      <c r="F36" s="202">
        <f t="shared" si="34"/>
        <v>102587.454</v>
      </c>
      <c r="G36" s="200">
        <f t="shared" si="11"/>
        <v>84748</v>
      </c>
      <c r="H36" s="201">
        <f t="shared" si="2"/>
        <v>9364.6540000000005</v>
      </c>
      <c r="I36" s="201">
        <f t="shared" si="3"/>
        <v>8474.8000000000011</v>
      </c>
      <c r="J36" s="202">
        <f t="shared" si="35"/>
        <v>102587.454</v>
      </c>
      <c r="K36" s="200">
        <f t="shared" si="13"/>
        <v>84748</v>
      </c>
      <c r="L36" s="201">
        <f t="shared" si="4"/>
        <v>9364.6540000000005</v>
      </c>
      <c r="M36" s="201">
        <f t="shared" si="5"/>
        <v>8474.8000000000011</v>
      </c>
      <c r="N36" s="202">
        <f t="shared" si="36"/>
        <v>102587.454</v>
      </c>
      <c r="O36" s="200">
        <f t="shared" si="15"/>
        <v>84748</v>
      </c>
      <c r="P36" s="201">
        <f t="shared" si="6"/>
        <v>9364.6540000000005</v>
      </c>
      <c r="Q36" s="201">
        <f t="shared" si="7"/>
        <v>8474.8000000000011</v>
      </c>
      <c r="R36" s="202">
        <f t="shared" si="37"/>
        <v>102587.454</v>
      </c>
      <c r="S36" s="200">
        <f t="shared" si="17"/>
        <v>84748</v>
      </c>
      <c r="T36" s="201">
        <f t="shared" si="8"/>
        <v>9364.6540000000005</v>
      </c>
      <c r="U36" s="201">
        <f t="shared" si="9"/>
        <v>8474.8000000000011</v>
      </c>
      <c r="V36" s="202">
        <f t="shared" si="38"/>
        <v>102587.454</v>
      </c>
    </row>
    <row r="37" spans="1:22" x14ac:dyDescent="0.25">
      <c r="A37" s="199" t="s">
        <v>44</v>
      </c>
      <c r="B37" s="177">
        <v>5</v>
      </c>
      <c r="C37" s="200">
        <v>88989</v>
      </c>
      <c r="D37" s="201">
        <f t="shared" ref="D37:D38" si="39">C37*$F$2</f>
        <v>9833.2844999999998</v>
      </c>
      <c r="E37" s="201">
        <f t="shared" si="1"/>
        <v>8898.9</v>
      </c>
      <c r="F37" s="202">
        <f t="shared" ref="F37:F38" si="40">SUM(C37:E37)</f>
        <v>107721.18449999999</v>
      </c>
      <c r="G37" s="200">
        <f t="shared" si="11"/>
        <v>88989</v>
      </c>
      <c r="H37" s="201">
        <f t="shared" ref="H37:H38" si="41">G37*$F$2</f>
        <v>9833.2844999999998</v>
      </c>
      <c r="I37" s="201">
        <f t="shared" si="3"/>
        <v>8898.9</v>
      </c>
      <c r="J37" s="202">
        <f t="shared" si="35"/>
        <v>107721.18449999999</v>
      </c>
      <c r="K37" s="200">
        <f t="shared" si="13"/>
        <v>88989</v>
      </c>
      <c r="L37" s="201">
        <f t="shared" ref="L37:L38" si="42">K37*$F$2</f>
        <v>9833.2844999999998</v>
      </c>
      <c r="M37" s="201">
        <f t="shared" si="5"/>
        <v>8898.9</v>
      </c>
      <c r="N37" s="202">
        <f t="shared" si="36"/>
        <v>107721.18449999999</v>
      </c>
      <c r="O37" s="200">
        <f t="shared" si="15"/>
        <v>88989</v>
      </c>
      <c r="P37" s="201">
        <f t="shared" ref="P37:P38" si="43">O37*$F$2</f>
        <v>9833.2844999999998</v>
      </c>
      <c r="Q37" s="201">
        <f t="shared" si="7"/>
        <v>8898.9</v>
      </c>
      <c r="R37" s="202">
        <f t="shared" si="37"/>
        <v>107721.18449999999</v>
      </c>
      <c r="S37" s="200">
        <f t="shared" si="17"/>
        <v>88989</v>
      </c>
      <c r="T37" s="201">
        <f t="shared" si="8"/>
        <v>9833.2844999999998</v>
      </c>
      <c r="U37" s="201">
        <f t="shared" si="9"/>
        <v>8898.9</v>
      </c>
      <c r="V37" s="202">
        <f t="shared" si="38"/>
        <v>107721.18449999999</v>
      </c>
    </row>
    <row r="38" spans="1:22" x14ac:dyDescent="0.25">
      <c r="A38" s="199" t="s">
        <v>45</v>
      </c>
      <c r="B38" s="177">
        <v>6</v>
      </c>
      <c r="C38" s="200">
        <v>93244</v>
      </c>
      <c r="D38" s="201">
        <f t="shared" si="39"/>
        <v>10303.462</v>
      </c>
      <c r="E38" s="201">
        <f t="shared" si="1"/>
        <v>9324.4</v>
      </c>
      <c r="F38" s="202">
        <f t="shared" si="40"/>
        <v>112871.86199999999</v>
      </c>
      <c r="G38" s="200">
        <f t="shared" si="11"/>
        <v>93244</v>
      </c>
      <c r="H38" s="201">
        <f t="shared" si="41"/>
        <v>10303.462</v>
      </c>
      <c r="I38" s="201">
        <f t="shared" si="3"/>
        <v>9324.4</v>
      </c>
      <c r="J38" s="202">
        <f t="shared" si="35"/>
        <v>112871.86199999999</v>
      </c>
      <c r="K38" s="200">
        <f t="shared" si="13"/>
        <v>93244</v>
      </c>
      <c r="L38" s="201">
        <f t="shared" si="42"/>
        <v>10303.462</v>
      </c>
      <c r="M38" s="201">
        <f t="shared" si="5"/>
        <v>9324.4</v>
      </c>
      <c r="N38" s="202">
        <f t="shared" si="36"/>
        <v>112871.86199999999</v>
      </c>
      <c r="O38" s="200">
        <f t="shared" si="15"/>
        <v>93244</v>
      </c>
      <c r="P38" s="201">
        <f t="shared" si="43"/>
        <v>10303.462</v>
      </c>
      <c r="Q38" s="201">
        <f t="shared" si="7"/>
        <v>9324.4</v>
      </c>
      <c r="R38" s="202">
        <f t="shared" si="37"/>
        <v>112871.86199999999</v>
      </c>
      <c r="S38" s="200">
        <f t="shared" si="17"/>
        <v>93244</v>
      </c>
      <c r="T38" s="201">
        <f t="shared" si="8"/>
        <v>10303.462</v>
      </c>
      <c r="U38" s="201">
        <f t="shared" si="9"/>
        <v>9324.4</v>
      </c>
      <c r="V38" s="202">
        <f t="shared" si="38"/>
        <v>112871.86199999999</v>
      </c>
    </row>
    <row r="39" spans="1:22" x14ac:dyDescent="0.25">
      <c r="A39" s="199" t="s">
        <v>46</v>
      </c>
      <c r="B39" s="177">
        <v>7</v>
      </c>
      <c r="C39" s="200">
        <v>97479</v>
      </c>
      <c r="D39" s="201">
        <f t="shared" ref="D39:D44" si="44">C39*$F$2</f>
        <v>10771.4295</v>
      </c>
      <c r="E39" s="201">
        <f t="shared" si="1"/>
        <v>9747.9</v>
      </c>
      <c r="F39" s="202">
        <f t="shared" si="34"/>
        <v>117998.32949999999</v>
      </c>
      <c r="G39" s="200">
        <f t="shared" si="11"/>
        <v>97479</v>
      </c>
      <c r="H39" s="201">
        <f t="shared" ref="H39:H44" si="45">G39*$F$2</f>
        <v>10771.4295</v>
      </c>
      <c r="I39" s="201">
        <f t="shared" si="3"/>
        <v>9747.9</v>
      </c>
      <c r="J39" s="202">
        <f t="shared" si="35"/>
        <v>117998.32949999999</v>
      </c>
      <c r="K39" s="200">
        <f t="shared" si="13"/>
        <v>97479</v>
      </c>
      <c r="L39" s="201">
        <f t="shared" ref="L39:L44" si="46">K39*$F$2</f>
        <v>10771.4295</v>
      </c>
      <c r="M39" s="201">
        <f t="shared" si="5"/>
        <v>9747.9</v>
      </c>
      <c r="N39" s="202">
        <f t="shared" si="36"/>
        <v>117998.32949999999</v>
      </c>
      <c r="O39" s="200">
        <f t="shared" si="15"/>
        <v>97479</v>
      </c>
      <c r="P39" s="201">
        <f t="shared" ref="P39:P44" si="47">O39*$F$2</f>
        <v>10771.4295</v>
      </c>
      <c r="Q39" s="201">
        <f t="shared" si="7"/>
        <v>9747.9</v>
      </c>
      <c r="R39" s="202">
        <f t="shared" si="37"/>
        <v>117998.32949999999</v>
      </c>
      <c r="S39" s="200">
        <f t="shared" si="17"/>
        <v>97479</v>
      </c>
      <c r="T39" s="201">
        <f t="shared" si="8"/>
        <v>10771.4295</v>
      </c>
      <c r="U39" s="201">
        <f t="shared" si="9"/>
        <v>9747.9</v>
      </c>
      <c r="V39" s="202">
        <f t="shared" si="38"/>
        <v>117998.32949999999</v>
      </c>
    </row>
    <row r="40" spans="1:22" ht="15.75" thickBot="1" x14ac:dyDescent="0.3">
      <c r="A40" s="203" t="s">
        <v>47</v>
      </c>
      <c r="B40" s="204">
        <v>8</v>
      </c>
      <c r="C40" s="205">
        <v>101695</v>
      </c>
      <c r="D40" s="206">
        <f t="shared" si="44"/>
        <v>11237.297500000001</v>
      </c>
      <c r="E40" s="206">
        <f t="shared" si="1"/>
        <v>10169.5</v>
      </c>
      <c r="F40" s="207">
        <f t="shared" si="34"/>
        <v>123101.7975</v>
      </c>
      <c r="G40" s="205">
        <f t="shared" si="11"/>
        <v>101695</v>
      </c>
      <c r="H40" s="206">
        <f t="shared" si="45"/>
        <v>11237.297500000001</v>
      </c>
      <c r="I40" s="206">
        <f t="shared" si="3"/>
        <v>10169.5</v>
      </c>
      <c r="J40" s="207">
        <f t="shared" si="35"/>
        <v>123101.7975</v>
      </c>
      <c r="K40" s="205">
        <f t="shared" si="13"/>
        <v>101695</v>
      </c>
      <c r="L40" s="206">
        <f t="shared" si="46"/>
        <v>11237.297500000001</v>
      </c>
      <c r="M40" s="206">
        <f t="shared" si="5"/>
        <v>10169.5</v>
      </c>
      <c r="N40" s="207">
        <f t="shared" si="36"/>
        <v>123101.7975</v>
      </c>
      <c r="O40" s="205">
        <f t="shared" si="15"/>
        <v>101695</v>
      </c>
      <c r="P40" s="206">
        <f t="shared" si="47"/>
        <v>11237.297500000001</v>
      </c>
      <c r="Q40" s="206">
        <f t="shared" si="7"/>
        <v>10169.5</v>
      </c>
      <c r="R40" s="207">
        <f t="shared" si="37"/>
        <v>123101.7975</v>
      </c>
      <c r="S40" s="205">
        <f t="shared" si="17"/>
        <v>101695</v>
      </c>
      <c r="T40" s="206">
        <f t="shared" si="8"/>
        <v>11237.297500000001</v>
      </c>
      <c r="U40" s="206">
        <f t="shared" si="9"/>
        <v>10169.5</v>
      </c>
      <c r="V40" s="207">
        <f t="shared" si="38"/>
        <v>123101.7975</v>
      </c>
    </row>
    <row r="41" spans="1:22" x14ac:dyDescent="0.25">
      <c r="A41" s="199" t="s">
        <v>48</v>
      </c>
      <c r="B41" s="177">
        <v>1</v>
      </c>
      <c r="C41" s="200">
        <v>68852</v>
      </c>
      <c r="D41" s="201">
        <f t="shared" si="44"/>
        <v>7608.1459999999997</v>
      </c>
      <c r="E41" s="201">
        <f t="shared" ref="E41:E76" si="48">C41*$F$3</f>
        <v>6885.2000000000007</v>
      </c>
      <c r="F41" s="202">
        <f>SUM(C41:E41)</f>
        <v>83345.34599999999</v>
      </c>
      <c r="G41" s="200">
        <f t="shared" si="11"/>
        <v>68852</v>
      </c>
      <c r="H41" s="201">
        <f t="shared" si="45"/>
        <v>7608.1459999999997</v>
      </c>
      <c r="I41" s="201">
        <f t="shared" ref="I41:I76" si="49">G41*$F$3</f>
        <v>6885.2000000000007</v>
      </c>
      <c r="J41" s="202">
        <f>SUM(G41:I41)</f>
        <v>83345.34599999999</v>
      </c>
      <c r="K41" s="200">
        <f t="shared" si="13"/>
        <v>68852</v>
      </c>
      <c r="L41" s="201">
        <f t="shared" si="46"/>
        <v>7608.1459999999997</v>
      </c>
      <c r="M41" s="201">
        <f t="shared" ref="M41:M76" si="50">K41*$F$3</f>
        <v>6885.2000000000007</v>
      </c>
      <c r="N41" s="202">
        <f>SUM(K41:M41)</f>
        <v>83345.34599999999</v>
      </c>
      <c r="O41" s="200">
        <f t="shared" si="15"/>
        <v>68852</v>
      </c>
      <c r="P41" s="201">
        <f t="shared" si="47"/>
        <v>7608.1459999999997</v>
      </c>
      <c r="Q41" s="201">
        <f t="shared" ref="Q41:Q76" si="51">O41*$F$3</f>
        <v>6885.2000000000007</v>
      </c>
      <c r="R41" s="202">
        <f>SUM(O41:Q41)</f>
        <v>83345.34599999999</v>
      </c>
      <c r="S41" s="200">
        <f t="shared" si="17"/>
        <v>68852</v>
      </c>
      <c r="T41" s="201">
        <f t="shared" si="8"/>
        <v>7608.1459999999997</v>
      </c>
      <c r="U41" s="201">
        <f t="shared" si="9"/>
        <v>6885.2000000000007</v>
      </c>
      <c r="V41" s="202">
        <f>SUM(S41:U41)</f>
        <v>83345.34599999999</v>
      </c>
    </row>
    <row r="42" spans="1:22" x14ac:dyDescent="0.25">
      <c r="A42" s="199" t="s">
        <v>49</v>
      </c>
      <c r="B42" s="177">
        <v>2</v>
      </c>
      <c r="C42" s="200">
        <v>72456</v>
      </c>
      <c r="D42" s="201">
        <f t="shared" si="44"/>
        <v>8006.3879999999999</v>
      </c>
      <c r="E42" s="201">
        <f t="shared" si="48"/>
        <v>7245.6</v>
      </c>
      <c r="F42" s="202">
        <f t="shared" ref="F42:F48" si="52">SUM(C42:E42)</f>
        <v>87707.988000000012</v>
      </c>
      <c r="G42" s="200">
        <f t="shared" si="11"/>
        <v>72456</v>
      </c>
      <c r="H42" s="201">
        <f t="shared" si="45"/>
        <v>8006.3879999999999</v>
      </c>
      <c r="I42" s="201">
        <f t="shared" si="49"/>
        <v>7245.6</v>
      </c>
      <c r="J42" s="202">
        <f t="shared" ref="J42:J48" si="53">SUM(G42:I42)</f>
        <v>87707.988000000012</v>
      </c>
      <c r="K42" s="200">
        <f t="shared" si="13"/>
        <v>72456</v>
      </c>
      <c r="L42" s="201">
        <f t="shared" si="46"/>
        <v>8006.3879999999999</v>
      </c>
      <c r="M42" s="201">
        <f t="shared" si="50"/>
        <v>7245.6</v>
      </c>
      <c r="N42" s="202">
        <f t="shared" ref="N42:N48" si="54">SUM(K42:M42)</f>
        <v>87707.988000000012</v>
      </c>
      <c r="O42" s="200">
        <f t="shared" si="15"/>
        <v>72456</v>
      </c>
      <c r="P42" s="201">
        <f t="shared" si="47"/>
        <v>8006.3879999999999</v>
      </c>
      <c r="Q42" s="201">
        <f t="shared" si="51"/>
        <v>7245.6</v>
      </c>
      <c r="R42" s="202">
        <f t="shared" ref="R42:R48" si="55">SUM(O42:Q42)</f>
        <v>87707.988000000012</v>
      </c>
      <c r="S42" s="200">
        <f t="shared" si="17"/>
        <v>72456</v>
      </c>
      <c r="T42" s="201">
        <f t="shared" si="8"/>
        <v>8006.3879999999999</v>
      </c>
      <c r="U42" s="201">
        <f t="shared" si="9"/>
        <v>7245.6</v>
      </c>
      <c r="V42" s="202">
        <f t="shared" ref="V42:V48" si="56">SUM(S42:U42)</f>
        <v>87707.988000000012</v>
      </c>
    </row>
    <row r="43" spans="1:22" x14ac:dyDescent="0.25">
      <c r="A43" s="199" t="s">
        <v>50</v>
      </c>
      <c r="B43" s="177">
        <v>3</v>
      </c>
      <c r="C43" s="200">
        <v>76496</v>
      </c>
      <c r="D43" s="201">
        <f t="shared" si="44"/>
        <v>8452.8080000000009</v>
      </c>
      <c r="E43" s="201">
        <f t="shared" si="48"/>
        <v>7649.6</v>
      </c>
      <c r="F43" s="202">
        <f t="shared" si="52"/>
        <v>92598.40800000001</v>
      </c>
      <c r="G43" s="200">
        <f t="shared" si="11"/>
        <v>76496</v>
      </c>
      <c r="H43" s="201">
        <f t="shared" si="45"/>
        <v>8452.8080000000009</v>
      </c>
      <c r="I43" s="201">
        <f t="shared" si="49"/>
        <v>7649.6</v>
      </c>
      <c r="J43" s="202">
        <f t="shared" si="53"/>
        <v>92598.40800000001</v>
      </c>
      <c r="K43" s="200">
        <f t="shared" si="13"/>
        <v>76496</v>
      </c>
      <c r="L43" s="201">
        <f t="shared" si="46"/>
        <v>8452.8080000000009</v>
      </c>
      <c r="M43" s="201">
        <f t="shared" si="50"/>
        <v>7649.6</v>
      </c>
      <c r="N43" s="202">
        <f t="shared" si="54"/>
        <v>92598.40800000001</v>
      </c>
      <c r="O43" s="200">
        <f t="shared" si="15"/>
        <v>76496</v>
      </c>
      <c r="P43" s="201">
        <f t="shared" si="47"/>
        <v>8452.8080000000009</v>
      </c>
      <c r="Q43" s="201">
        <f t="shared" si="51"/>
        <v>7649.6</v>
      </c>
      <c r="R43" s="202">
        <f t="shared" si="55"/>
        <v>92598.40800000001</v>
      </c>
      <c r="S43" s="200">
        <f t="shared" si="17"/>
        <v>76496</v>
      </c>
      <c r="T43" s="201">
        <f t="shared" si="8"/>
        <v>8452.8080000000009</v>
      </c>
      <c r="U43" s="201">
        <f t="shared" si="9"/>
        <v>7649.6</v>
      </c>
      <c r="V43" s="202">
        <f t="shared" si="56"/>
        <v>92598.40800000001</v>
      </c>
    </row>
    <row r="44" spans="1:22" x14ac:dyDescent="0.25">
      <c r="A44" s="199" t="s">
        <v>51</v>
      </c>
      <c r="B44" s="177">
        <v>4</v>
      </c>
      <c r="C44" s="200">
        <v>80512</v>
      </c>
      <c r="D44" s="201">
        <f t="shared" si="44"/>
        <v>8896.5760000000009</v>
      </c>
      <c r="E44" s="201">
        <f t="shared" si="48"/>
        <v>8051.2000000000007</v>
      </c>
      <c r="F44" s="202">
        <f t="shared" si="52"/>
        <v>97459.775999999998</v>
      </c>
      <c r="G44" s="200">
        <f t="shared" si="11"/>
        <v>80512</v>
      </c>
      <c r="H44" s="201">
        <f t="shared" si="45"/>
        <v>8896.5760000000009</v>
      </c>
      <c r="I44" s="201">
        <f t="shared" si="49"/>
        <v>8051.2000000000007</v>
      </c>
      <c r="J44" s="202">
        <f t="shared" si="53"/>
        <v>97459.775999999998</v>
      </c>
      <c r="K44" s="200">
        <f t="shared" si="13"/>
        <v>80512</v>
      </c>
      <c r="L44" s="201">
        <f t="shared" si="46"/>
        <v>8896.5760000000009</v>
      </c>
      <c r="M44" s="201">
        <f t="shared" si="50"/>
        <v>8051.2000000000007</v>
      </c>
      <c r="N44" s="202">
        <f t="shared" si="54"/>
        <v>97459.775999999998</v>
      </c>
      <c r="O44" s="200">
        <f t="shared" si="15"/>
        <v>80512</v>
      </c>
      <c r="P44" s="201">
        <f t="shared" si="47"/>
        <v>8896.5760000000009</v>
      </c>
      <c r="Q44" s="201">
        <f t="shared" si="51"/>
        <v>8051.2000000000007</v>
      </c>
      <c r="R44" s="202">
        <f t="shared" si="55"/>
        <v>97459.775999999998</v>
      </c>
      <c r="S44" s="200">
        <f t="shared" si="17"/>
        <v>80512</v>
      </c>
      <c r="T44" s="201">
        <f t="shared" si="8"/>
        <v>8896.5760000000009</v>
      </c>
      <c r="U44" s="201">
        <f t="shared" si="9"/>
        <v>8051.2000000000007</v>
      </c>
      <c r="V44" s="202">
        <f t="shared" si="56"/>
        <v>97459.775999999998</v>
      </c>
    </row>
    <row r="45" spans="1:22" x14ac:dyDescent="0.25">
      <c r="A45" s="199" t="s">
        <v>52</v>
      </c>
      <c r="B45" s="177">
        <v>5</v>
      </c>
      <c r="C45" s="200">
        <v>84539</v>
      </c>
      <c r="D45" s="201">
        <f t="shared" ref="D45:D46" si="57">C45*$F$2</f>
        <v>9341.5594999999994</v>
      </c>
      <c r="E45" s="201">
        <f t="shared" si="48"/>
        <v>8453.9</v>
      </c>
      <c r="F45" s="202">
        <f t="shared" si="52"/>
        <v>102334.4595</v>
      </c>
      <c r="G45" s="200">
        <f t="shared" si="11"/>
        <v>84539</v>
      </c>
      <c r="H45" s="201">
        <f t="shared" ref="H45:H46" si="58">G45*$F$2</f>
        <v>9341.5594999999994</v>
      </c>
      <c r="I45" s="201">
        <f t="shared" si="49"/>
        <v>8453.9</v>
      </c>
      <c r="J45" s="202">
        <f t="shared" si="53"/>
        <v>102334.4595</v>
      </c>
      <c r="K45" s="200">
        <f t="shared" si="13"/>
        <v>84539</v>
      </c>
      <c r="L45" s="201">
        <f t="shared" ref="L45:L46" si="59">K45*$F$2</f>
        <v>9341.5594999999994</v>
      </c>
      <c r="M45" s="201">
        <f t="shared" si="50"/>
        <v>8453.9</v>
      </c>
      <c r="N45" s="202">
        <f t="shared" si="54"/>
        <v>102334.4595</v>
      </c>
      <c r="O45" s="200">
        <f t="shared" si="15"/>
        <v>84539</v>
      </c>
      <c r="P45" s="201">
        <f t="shared" ref="P45:P46" si="60">O45*$F$2</f>
        <v>9341.5594999999994</v>
      </c>
      <c r="Q45" s="201">
        <f t="shared" si="51"/>
        <v>8453.9</v>
      </c>
      <c r="R45" s="202">
        <f t="shared" si="55"/>
        <v>102334.4595</v>
      </c>
      <c r="S45" s="200">
        <f t="shared" si="17"/>
        <v>84539</v>
      </c>
      <c r="T45" s="201">
        <f t="shared" si="8"/>
        <v>9341.5594999999994</v>
      </c>
      <c r="U45" s="201">
        <f t="shared" si="9"/>
        <v>8453.9</v>
      </c>
      <c r="V45" s="202">
        <f t="shared" si="56"/>
        <v>102334.4595</v>
      </c>
    </row>
    <row r="46" spans="1:22" x14ac:dyDescent="0.25">
      <c r="A46" s="199" t="s">
        <v>53</v>
      </c>
      <c r="B46" s="177">
        <v>6</v>
      </c>
      <c r="C46" s="200">
        <v>88588</v>
      </c>
      <c r="D46" s="201">
        <f t="shared" si="57"/>
        <v>9788.9740000000002</v>
      </c>
      <c r="E46" s="201">
        <f t="shared" si="48"/>
        <v>8858.8000000000011</v>
      </c>
      <c r="F46" s="202">
        <f t="shared" si="52"/>
        <v>107235.774</v>
      </c>
      <c r="G46" s="200">
        <f t="shared" si="11"/>
        <v>88588</v>
      </c>
      <c r="H46" s="201">
        <f t="shared" si="58"/>
        <v>9788.9740000000002</v>
      </c>
      <c r="I46" s="201">
        <f t="shared" si="49"/>
        <v>8858.8000000000011</v>
      </c>
      <c r="J46" s="202">
        <f t="shared" si="53"/>
        <v>107235.774</v>
      </c>
      <c r="K46" s="200">
        <f t="shared" si="13"/>
        <v>88588</v>
      </c>
      <c r="L46" s="201">
        <f t="shared" si="59"/>
        <v>9788.9740000000002</v>
      </c>
      <c r="M46" s="201">
        <f t="shared" si="50"/>
        <v>8858.8000000000011</v>
      </c>
      <c r="N46" s="202">
        <f t="shared" si="54"/>
        <v>107235.774</v>
      </c>
      <c r="O46" s="200">
        <f t="shared" si="15"/>
        <v>88588</v>
      </c>
      <c r="P46" s="201">
        <f t="shared" si="60"/>
        <v>9788.9740000000002</v>
      </c>
      <c r="Q46" s="201">
        <f t="shared" si="51"/>
        <v>8858.8000000000011</v>
      </c>
      <c r="R46" s="202">
        <f t="shared" si="55"/>
        <v>107235.774</v>
      </c>
      <c r="S46" s="200">
        <f t="shared" si="17"/>
        <v>88588</v>
      </c>
      <c r="T46" s="201">
        <f t="shared" si="8"/>
        <v>9788.9740000000002</v>
      </c>
      <c r="U46" s="201">
        <f t="shared" si="9"/>
        <v>8858.8000000000011</v>
      </c>
      <c r="V46" s="202">
        <f t="shared" si="56"/>
        <v>107235.774</v>
      </c>
    </row>
    <row r="47" spans="1:22" x14ac:dyDescent="0.25">
      <c r="A47" s="199" t="s">
        <v>54</v>
      </c>
      <c r="B47" s="177">
        <v>7</v>
      </c>
      <c r="C47" s="200">
        <v>92611</v>
      </c>
      <c r="D47" s="201">
        <f t="shared" ref="D47:D52" si="61">C47*$F$2</f>
        <v>10233.5155</v>
      </c>
      <c r="E47" s="201">
        <f t="shared" si="48"/>
        <v>9261.1</v>
      </c>
      <c r="F47" s="202">
        <f t="shared" si="52"/>
        <v>112105.6155</v>
      </c>
      <c r="G47" s="200">
        <f t="shared" si="11"/>
        <v>92611</v>
      </c>
      <c r="H47" s="201">
        <f t="shared" ref="H47:H52" si="62">G47*$F$2</f>
        <v>10233.5155</v>
      </c>
      <c r="I47" s="201">
        <f t="shared" si="49"/>
        <v>9261.1</v>
      </c>
      <c r="J47" s="202">
        <f t="shared" si="53"/>
        <v>112105.6155</v>
      </c>
      <c r="K47" s="200">
        <f t="shared" si="13"/>
        <v>92611</v>
      </c>
      <c r="L47" s="201">
        <f t="shared" ref="L47:L52" si="63">K47*$F$2</f>
        <v>10233.5155</v>
      </c>
      <c r="M47" s="201">
        <f t="shared" si="50"/>
        <v>9261.1</v>
      </c>
      <c r="N47" s="202">
        <f t="shared" si="54"/>
        <v>112105.6155</v>
      </c>
      <c r="O47" s="200">
        <f t="shared" si="15"/>
        <v>92611</v>
      </c>
      <c r="P47" s="201">
        <f t="shared" ref="P47:P52" si="64">O47*$F$2</f>
        <v>10233.5155</v>
      </c>
      <c r="Q47" s="201">
        <f t="shared" si="51"/>
        <v>9261.1</v>
      </c>
      <c r="R47" s="202">
        <f t="shared" si="55"/>
        <v>112105.6155</v>
      </c>
      <c r="S47" s="200">
        <f t="shared" si="17"/>
        <v>92611</v>
      </c>
      <c r="T47" s="201">
        <f t="shared" si="8"/>
        <v>10233.5155</v>
      </c>
      <c r="U47" s="201">
        <f t="shared" si="9"/>
        <v>9261.1</v>
      </c>
      <c r="V47" s="202">
        <f t="shared" si="56"/>
        <v>112105.6155</v>
      </c>
    </row>
    <row r="48" spans="1:22" ht="15.75" thickBot="1" x14ac:dyDescent="0.3">
      <c r="A48" s="203" t="s">
        <v>55</v>
      </c>
      <c r="B48" s="204">
        <v>8</v>
      </c>
      <c r="C48" s="205">
        <v>96615</v>
      </c>
      <c r="D48" s="206">
        <f t="shared" si="61"/>
        <v>10675.9575</v>
      </c>
      <c r="E48" s="206">
        <f t="shared" si="48"/>
        <v>9661.5</v>
      </c>
      <c r="F48" s="207">
        <f t="shared" si="52"/>
        <v>116952.4575</v>
      </c>
      <c r="G48" s="205">
        <f t="shared" si="11"/>
        <v>96615</v>
      </c>
      <c r="H48" s="206">
        <f t="shared" si="62"/>
        <v>10675.9575</v>
      </c>
      <c r="I48" s="206">
        <f t="shared" si="49"/>
        <v>9661.5</v>
      </c>
      <c r="J48" s="207">
        <f t="shared" si="53"/>
        <v>116952.4575</v>
      </c>
      <c r="K48" s="205">
        <f t="shared" si="13"/>
        <v>96615</v>
      </c>
      <c r="L48" s="206">
        <f t="shared" si="63"/>
        <v>10675.9575</v>
      </c>
      <c r="M48" s="206">
        <f t="shared" si="50"/>
        <v>9661.5</v>
      </c>
      <c r="N48" s="207">
        <f t="shared" si="54"/>
        <v>116952.4575</v>
      </c>
      <c r="O48" s="205">
        <f t="shared" si="15"/>
        <v>96615</v>
      </c>
      <c r="P48" s="206">
        <f t="shared" si="64"/>
        <v>10675.9575</v>
      </c>
      <c r="Q48" s="206">
        <f t="shared" si="51"/>
        <v>9661.5</v>
      </c>
      <c r="R48" s="207">
        <f t="shared" si="55"/>
        <v>116952.4575</v>
      </c>
      <c r="S48" s="205">
        <f t="shared" si="17"/>
        <v>96615</v>
      </c>
      <c r="T48" s="206">
        <f t="shared" si="8"/>
        <v>10675.9575</v>
      </c>
      <c r="U48" s="206">
        <f t="shared" si="9"/>
        <v>9661.5</v>
      </c>
      <c r="V48" s="207">
        <f t="shared" si="56"/>
        <v>116952.4575</v>
      </c>
    </row>
    <row r="49" spans="1:22" x14ac:dyDescent="0.25">
      <c r="A49" s="194" t="s">
        <v>56</v>
      </c>
      <c r="B49" s="195">
        <v>1</v>
      </c>
      <c r="C49" s="196">
        <v>54849</v>
      </c>
      <c r="D49" s="197">
        <f t="shared" si="61"/>
        <v>6060.8145000000004</v>
      </c>
      <c r="E49" s="197">
        <f t="shared" si="48"/>
        <v>5484.9000000000005</v>
      </c>
      <c r="F49" s="198">
        <f>SUM(C49:E49)</f>
        <v>66394.714500000002</v>
      </c>
      <c r="G49" s="196">
        <f t="shared" si="11"/>
        <v>54849</v>
      </c>
      <c r="H49" s="197">
        <f t="shared" si="62"/>
        <v>6060.8145000000004</v>
      </c>
      <c r="I49" s="197">
        <f t="shared" si="49"/>
        <v>5484.9000000000005</v>
      </c>
      <c r="J49" s="198">
        <f>SUM(G49:I49)</f>
        <v>66394.714500000002</v>
      </c>
      <c r="K49" s="196">
        <f t="shared" si="13"/>
        <v>54849</v>
      </c>
      <c r="L49" s="197">
        <f t="shared" si="63"/>
        <v>6060.8145000000004</v>
      </c>
      <c r="M49" s="197">
        <f t="shared" si="50"/>
        <v>5484.9000000000005</v>
      </c>
      <c r="N49" s="198">
        <f>SUM(K49:M49)</f>
        <v>66394.714500000002</v>
      </c>
      <c r="O49" s="196">
        <f t="shared" si="15"/>
        <v>54849</v>
      </c>
      <c r="P49" s="197">
        <f t="shared" si="64"/>
        <v>6060.8145000000004</v>
      </c>
      <c r="Q49" s="197">
        <f t="shared" si="51"/>
        <v>5484.9000000000005</v>
      </c>
      <c r="R49" s="198">
        <f>SUM(O49:Q49)</f>
        <v>66394.714500000002</v>
      </c>
      <c r="S49" s="196">
        <f t="shared" si="17"/>
        <v>54849</v>
      </c>
      <c r="T49" s="197">
        <f t="shared" si="8"/>
        <v>6060.8145000000004</v>
      </c>
      <c r="U49" s="197">
        <f t="shared" si="9"/>
        <v>5484.9000000000005</v>
      </c>
      <c r="V49" s="198">
        <f>SUM(S49:U49)</f>
        <v>66394.714500000002</v>
      </c>
    </row>
    <row r="50" spans="1:22" x14ac:dyDescent="0.25">
      <c r="A50" s="199" t="s">
        <v>61</v>
      </c>
      <c r="B50" s="177">
        <v>2</v>
      </c>
      <c r="C50" s="200">
        <v>56724</v>
      </c>
      <c r="D50" s="201">
        <f t="shared" si="61"/>
        <v>6268.0020000000004</v>
      </c>
      <c r="E50" s="201">
        <f t="shared" si="48"/>
        <v>5672.4000000000005</v>
      </c>
      <c r="F50" s="202">
        <f t="shared" ref="F50:F55" si="65">SUM(C50:E50)</f>
        <v>68664.402000000002</v>
      </c>
      <c r="G50" s="200">
        <f t="shared" si="11"/>
        <v>56724</v>
      </c>
      <c r="H50" s="201">
        <f t="shared" si="62"/>
        <v>6268.0020000000004</v>
      </c>
      <c r="I50" s="201">
        <f t="shared" si="49"/>
        <v>5672.4000000000005</v>
      </c>
      <c r="J50" s="202">
        <f t="shared" ref="J50:J55" si="66">SUM(G50:I50)</f>
        <v>68664.402000000002</v>
      </c>
      <c r="K50" s="200">
        <f t="shared" si="13"/>
        <v>56724</v>
      </c>
      <c r="L50" s="201">
        <f t="shared" si="63"/>
        <v>6268.0020000000004</v>
      </c>
      <c r="M50" s="201">
        <f t="shared" si="50"/>
        <v>5672.4000000000005</v>
      </c>
      <c r="N50" s="202">
        <f t="shared" ref="N50:N55" si="67">SUM(K50:M50)</f>
        <v>68664.402000000002</v>
      </c>
      <c r="O50" s="200">
        <f t="shared" si="15"/>
        <v>56724</v>
      </c>
      <c r="P50" s="201">
        <f t="shared" si="64"/>
        <v>6268.0020000000004</v>
      </c>
      <c r="Q50" s="201">
        <f t="shared" si="51"/>
        <v>5672.4000000000005</v>
      </c>
      <c r="R50" s="202">
        <f t="shared" ref="R50:R55" si="68">SUM(O50:Q50)</f>
        <v>68664.402000000002</v>
      </c>
      <c r="S50" s="200">
        <f t="shared" si="17"/>
        <v>56724</v>
      </c>
      <c r="T50" s="201">
        <f t="shared" si="8"/>
        <v>6268.0020000000004</v>
      </c>
      <c r="U50" s="201">
        <f t="shared" si="9"/>
        <v>5672.4000000000005</v>
      </c>
      <c r="V50" s="202">
        <f t="shared" ref="V50:V55" si="69">SUM(S50:U50)</f>
        <v>68664.402000000002</v>
      </c>
    </row>
    <row r="51" spans="1:22" x14ac:dyDescent="0.25">
      <c r="A51" s="199" t="s">
        <v>57</v>
      </c>
      <c r="B51" s="177">
        <v>3</v>
      </c>
      <c r="C51" s="200">
        <v>66768</v>
      </c>
      <c r="D51" s="201">
        <f t="shared" si="61"/>
        <v>7377.8640000000005</v>
      </c>
      <c r="E51" s="201">
        <f t="shared" si="48"/>
        <v>6676.8</v>
      </c>
      <c r="F51" s="202">
        <f t="shared" si="65"/>
        <v>80822.664000000004</v>
      </c>
      <c r="G51" s="200">
        <f t="shared" si="11"/>
        <v>66768</v>
      </c>
      <c r="H51" s="201">
        <f t="shared" si="62"/>
        <v>7377.8640000000005</v>
      </c>
      <c r="I51" s="201">
        <f t="shared" si="49"/>
        <v>6676.8</v>
      </c>
      <c r="J51" s="202">
        <f t="shared" si="66"/>
        <v>80822.664000000004</v>
      </c>
      <c r="K51" s="200">
        <f t="shared" si="13"/>
        <v>66768</v>
      </c>
      <c r="L51" s="201">
        <f t="shared" si="63"/>
        <v>7377.8640000000005</v>
      </c>
      <c r="M51" s="201">
        <f t="shared" si="50"/>
        <v>6676.8</v>
      </c>
      <c r="N51" s="202">
        <f t="shared" si="67"/>
        <v>80822.664000000004</v>
      </c>
      <c r="O51" s="200">
        <f t="shared" si="15"/>
        <v>66768</v>
      </c>
      <c r="P51" s="201">
        <f t="shared" si="64"/>
        <v>7377.8640000000005</v>
      </c>
      <c r="Q51" s="201">
        <f t="shared" si="51"/>
        <v>6676.8</v>
      </c>
      <c r="R51" s="202">
        <f t="shared" si="68"/>
        <v>80822.664000000004</v>
      </c>
      <c r="S51" s="200">
        <f t="shared" si="17"/>
        <v>66768</v>
      </c>
      <c r="T51" s="201">
        <f t="shared" si="8"/>
        <v>7377.8640000000005</v>
      </c>
      <c r="U51" s="201">
        <f t="shared" si="9"/>
        <v>6676.8</v>
      </c>
      <c r="V51" s="202">
        <f t="shared" si="69"/>
        <v>80822.664000000004</v>
      </c>
    </row>
    <row r="52" spans="1:22" x14ac:dyDescent="0.25">
      <c r="A52" s="199" t="s">
        <v>58</v>
      </c>
      <c r="B52" s="177">
        <v>4</v>
      </c>
      <c r="C52" s="200">
        <v>71655</v>
      </c>
      <c r="D52" s="201">
        <f t="shared" si="61"/>
        <v>7917.8775000000005</v>
      </c>
      <c r="E52" s="201">
        <f t="shared" si="48"/>
        <v>7165.5</v>
      </c>
      <c r="F52" s="202">
        <f t="shared" si="65"/>
        <v>86738.377500000002</v>
      </c>
      <c r="G52" s="200">
        <f t="shared" si="11"/>
        <v>71655</v>
      </c>
      <c r="H52" s="201">
        <f t="shared" si="62"/>
        <v>7917.8775000000005</v>
      </c>
      <c r="I52" s="201">
        <f t="shared" si="49"/>
        <v>7165.5</v>
      </c>
      <c r="J52" s="202">
        <f t="shared" si="66"/>
        <v>86738.377500000002</v>
      </c>
      <c r="K52" s="200">
        <f t="shared" si="13"/>
        <v>71655</v>
      </c>
      <c r="L52" s="201">
        <f t="shared" si="63"/>
        <v>7917.8775000000005</v>
      </c>
      <c r="M52" s="201">
        <f t="shared" si="50"/>
        <v>7165.5</v>
      </c>
      <c r="N52" s="202">
        <f t="shared" si="67"/>
        <v>86738.377500000002</v>
      </c>
      <c r="O52" s="200">
        <f t="shared" si="15"/>
        <v>71655</v>
      </c>
      <c r="P52" s="201">
        <f t="shared" si="64"/>
        <v>7917.8775000000005</v>
      </c>
      <c r="Q52" s="201">
        <f t="shared" si="51"/>
        <v>7165.5</v>
      </c>
      <c r="R52" s="202">
        <f t="shared" si="68"/>
        <v>86738.377500000002</v>
      </c>
      <c r="S52" s="200">
        <f t="shared" si="17"/>
        <v>71655</v>
      </c>
      <c r="T52" s="201">
        <f t="shared" si="8"/>
        <v>7917.8775000000005</v>
      </c>
      <c r="U52" s="201">
        <f t="shared" si="9"/>
        <v>7165.5</v>
      </c>
      <c r="V52" s="202">
        <f t="shared" si="69"/>
        <v>86738.377500000002</v>
      </c>
    </row>
    <row r="53" spans="1:22" x14ac:dyDescent="0.25">
      <c r="A53" s="199" t="s">
        <v>59</v>
      </c>
      <c r="B53" s="177">
        <v>5</v>
      </c>
      <c r="C53" s="200">
        <v>77019</v>
      </c>
      <c r="D53" s="201">
        <f t="shared" ref="D53:D54" si="70">C53*$F$2</f>
        <v>8510.5995000000003</v>
      </c>
      <c r="E53" s="201">
        <f t="shared" si="48"/>
        <v>7701.9000000000005</v>
      </c>
      <c r="F53" s="202">
        <f t="shared" si="65"/>
        <v>93231.499499999991</v>
      </c>
      <c r="G53" s="200">
        <f t="shared" si="11"/>
        <v>77019</v>
      </c>
      <c r="H53" s="201">
        <f t="shared" ref="H53:H54" si="71">G53*$F$2</f>
        <v>8510.5995000000003</v>
      </c>
      <c r="I53" s="201">
        <f t="shared" si="49"/>
        <v>7701.9000000000005</v>
      </c>
      <c r="J53" s="202">
        <f t="shared" si="66"/>
        <v>93231.499499999991</v>
      </c>
      <c r="K53" s="200">
        <f t="shared" si="13"/>
        <v>77019</v>
      </c>
      <c r="L53" s="201">
        <f t="shared" ref="L53:L54" si="72">K53*$F$2</f>
        <v>8510.5995000000003</v>
      </c>
      <c r="M53" s="201">
        <f t="shared" si="50"/>
        <v>7701.9000000000005</v>
      </c>
      <c r="N53" s="202">
        <f t="shared" si="67"/>
        <v>93231.499499999991</v>
      </c>
      <c r="O53" s="200">
        <f t="shared" si="15"/>
        <v>77019</v>
      </c>
      <c r="P53" s="201">
        <f t="shared" ref="P53:P54" si="73">O53*$F$2</f>
        <v>8510.5995000000003</v>
      </c>
      <c r="Q53" s="201">
        <f t="shared" si="51"/>
        <v>7701.9000000000005</v>
      </c>
      <c r="R53" s="202">
        <f t="shared" si="68"/>
        <v>93231.499499999991</v>
      </c>
      <c r="S53" s="200">
        <f t="shared" si="17"/>
        <v>77019</v>
      </c>
      <c r="T53" s="201">
        <f t="shared" si="8"/>
        <v>8510.5995000000003</v>
      </c>
      <c r="U53" s="201">
        <f t="shared" si="9"/>
        <v>7701.9000000000005</v>
      </c>
      <c r="V53" s="202">
        <f t="shared" si="69"/>
        <v>93231.499499999991</v>
      </c>
    </row>
    <row r="54" spans="1:22" x14ac:dyDescent="0.25">
      <c r="A54" s="199" t="s">
        <v>62</v>
      </c>
      <c r="B54" s="177">
        <v>6</v>
      </c>
      <c r="C54" s="200">
        <v>82380</v>
      </c>
      <c r="D54" s="201">
        <f t="shared" si="70"/>
        <v>9102.99</v>
      </c>
      <c r="E54" s="201">
        <f t="shared" si="48"/>
        <v>8238</v>
      </c>
      <c r="F54" s="202">
        <f t="shared" si="65"/>
        <v>99720.99</v>
      </c>
      <c r="G54" s="200">
        <f t="shared" si="11"/>
        <v>82380</v>
      </c>
      <c r="H54" s="201">
        <f t="shared" si="71"/>
        <v>9102.99</v>
      </c>
      <c r="I54" s="201">
        <f t="shared" si="49"/>
        <v>8238</v>
      </c>
      <c r="J54" s="202">
        <f t="shared" si="66"/>
        <v>99720.99</v>
      </c>
      <c r="K54" s="200">
        <f t="shared" si="13"/>
        <v>82380</v>
      </c>
      <c r="L54" s="201">
        <f t="shared" si="72"/>
        <v>9102.99</v>
      </c>
      <c r="M54" s="201">
        <f t="shared" si="50"/>
        <v>8238</v>
      </c>
      <c r="N54" s="202">
        <f t="shared" si="67"/>
        <v>99720.99</v>
      </c>
      <c r="O54" s="200">
        <f t="shared" si="15"/>
        <v>82380</v>
      </c>
      <c r="P54" s="201">
        <f t="shared" si="73"/>
        <v>9102.99</v>
      </c>
      <c r="Q54" s="201">
        <f t="shared" si="51"/>
        <v>8238</v>
      </c>
      <c r="R54" s="202">
        <f t="shared" si="68"/>
        <v>99720.99</v>
      </c>
      <c r="S54" s="200">
        <f t="shared" si="17"/>
        <v>82380</v>
      </c>
      <c r="T54" s="201">
        <f t="shared" si="8"/>
        <v>9102.99</v>
      </c>
      <c r="U54" s="201">
        <f t="shared" si="9"/>
        <v>8238</v>
      </c>
      <c r="V54" s="202">
        <f t="shared" si="69"/>
        <v>99720.99</v>
      </c>
    </row>
    <row r="55" spans="1:22" ht="15.75" thickBot="1" x14ac:dyDescent="0.3">
      <c r="A55" s="203" t="s">
        <v>60</v>
      </c>
      <c r="B55" s="204">
        <v>7</v>
      </c>
      <c r="C55" s="205">
        <v>87724</v>
      </c>
      <c r="D55" s="206">
        <f>C55*$F$2</f>
        <v>9693.5020000000004</v>
      </c>
      <c r="E55" s="206">
        <f t="shared" si="48"/>
        <v>8772.4</v>
      </c>
      <c r="F55" s="207">
        <f t="shared" si="65"/>
        <v>106189.902</v>
      </c>
      <c r="G55" s="205">
        <f t="shared" si="11"/>
        <v>87724</v>
      </c>
      <c r="H55" s="206">
        <f>G55*$F$2</f>
        <v>9693.5020000000004</v>
      </c>
      <c r="I55" s="206">
        <f t="shared" si="49"/>
        <v>8772.4</v>
      </c>
      <c r="J55" s="207">
        <f t="shared" si="66"/>
        <v>106189.902</v>
      </c>
      <c r="K55" s="205">
        <f t="shared" si="13"/>
        <v>87724</v>
      </c>
      <c r="L55" s="206">
        <f>K55*$F$2</f>
        <v>9693.5020000000004</v>
      </c>
      <c r="M55" s="206">
        <f t="shared" si="50"/>
        <v>8772.4</v>
      </c>
      <c r="N55" s="207">
        <f t="shared" si="67"/>
        <v>106189.902</v>
      </c>
      <c r="O55" s="205">
        <f t="shared" si="15"/>
        <v>87724</v>
      </c>
      <c r="P55" s="206">
        <f>O55*$F$2</f>
        <v>9693.5020000000004</v>
      </c>
      <c r="Q55" s="206">
        <f t="shared" si="51"/>
        <v>8772.4</v>
      </c>
      <c r="R55" s="207">
        <f t="shared" si="68"/>
        <v>106189.902</v>
      </c>
      <c r="S55" s="205">
        <f t="shared" si="17"/>
        <v>87724</v>
      </c>
      <c r="T55" s="206">
        <f>S55*$F$2</f>
        <v>9693.5020000000004</v>
      </c>
      <c r="U55" s="206">
        <f t="shared" si="9"/>
        <v>8772.4</v>
      </c>
      <c r="V55" s="207">
        <f t="shared" si="69"/>
        <v>106189.902</v>
      </c>
    </row>
    <row r="56" spans="1:22" x14ac:dyDescent="0.25">
      <c r="A56" s="194" t="s">
        <v>63</v>
      </c>
      <c r="B56" s="195">
        <v>1</v>
      </c>
      <c r="C56" s="196">
        <v>52201</v>
      </c>
      <c r="D56" s="197">
        <f>C56*$F$2</f>
        <v>5768.2105000000001</v>
      </c>
      <c r="E56" s="197">
        <f t="shared" si="48"/>
        <v>5220.1000000000004</v>
      </c>
      <c r="F56" s="198">
        <f>SUM(C56:E56)</f>
        <v>63189.3105</v>
      </c>
      <c r="G56" s="196">
        <f t="shared" si="11"/>
        <v>52201</v>
      </c>
      <c r="H56" s="197">
        <f>G56*$F$2</f>
        <v>5768.2105000000001</v>
      </c>
      <c r="I56" s="197">
        <f t="shared" si="49"/>
        <v>5220.1000000000004</v>
      </c>
      <c r="J56" s="198">
        <f>SUM(G56:I56)</f>
        <v>63189.3105</v>
      </c>
      <c r="K56" s="196">
        <f t="shared" si="13"/>
        <v>52201</v>
      </c>
      <c r="L56" s="197">
        <f>K56*$F$2</f>
        <v>5768.2105000000001</v>
      </c>
      <c r="M56" s="197">
        <f t="shared" si="50"/>
        <v>5220.1000000000004</v>
      </c>
      <c r="N56" s="198">
        <f>SUM(K56:M56)</f>
        <v>63189.3105</v>
      </c>
      <c r="O56" s="196">
        <f t="shared" si="15"/>
        <v>52201</v>
      </c>
      <c r="P56" s="197">
        <f>O56*$F$2</f>
        <v>5768.2105000000001</v>
      </c>
      <c r="Q56" s="197">
        <f t="shared" si="51"/>
        <v>5220.1000000000004</v>
      </c>
      <c r="R56" s="198">
        <f>SUM(O56:Q56)</f>
        <v>63189.3105</v>
      </c>
      <c r="S56" s="196">
        <f t="shared" si="17"/>
        <v>52201</v>
      </c>
      <c r="T56" s="197">
        <f>S56*$F$2</f>
        <v>5768.2105000000001</v>
      </c>
      <c r="U56" s="197">
        <f t="shared" si="9"/>
        <v>5220.1000000000004</v>
      </c>
      <c r="V56" s="198">
        <f>SUM(S56:U56)</f>
        <v>63189.3105</v>
      </c>
    </row>
    <row r="57" spans="1:22" x14ac:dyDescent="0.25">
      <c r="A57" s="199" t="s">
        <v>64</v>
      </c>
      <c r="B57" s="177">
        <v>2</v>
      </c>
      <c r="C57" s="200">
        <v>53973</v>
      </c>
      <c r="D57" s="201">
        <f>C57*$F$2</f>
        <v>5964.0164999999997</v>
      </c>
      <c r="E57" s="201">
        <f t="shared" si="48"/>
        <v>5397.3</v>
      </c>
      <c r="F57" s="202">
        <f t="shared" ref="F57:F62" si="74">SUM(C57:E57)</f>
        <v>65334.316500000001</v>
      </c>
      <c r="G57" s="200">
        <f t="shared" si="11"/>
        <v>53973</v>
      </c>
      <c r="H57" s="201">
        <f>G57*$F$2</f>
        <v>5964.0164999999997</v>
      </c>
      <c r="I57" s="201">
        <f t="shared" si="49"/>
        <v>5397.3</v>
      </c>
      <c r="J57" s="202">
        <f t="shared" ref="J57:J62" si="75">SUM(G57:I57)</f>
        <v>65334.316500000001</v>
      </c>
      <c r="K57" s="200">
        <f t="shared" si="13"/>
        <v>53973</v>
      </c>
      <c r="L57" s="201">
        <f>K57*$F$2</f>
        <v>5964.0164999999997</v>
      </c>
      <c r="M57" s="201">
        <f t="shared" si="50"/>
        <v>5397.3</v>
      </c>
      <c r="N57" s="202">
        <f t="shared" ref="N57:N62" si="76">SUM(K57:M57)</f>
        <v>65334.316500000001</v>
      </c>
      <c r="O57" s="200">
        <f t="shared" si="15"/>
        <v>53973</v>
      </c>
      <c r="P57" s="201">
        <f>O57*$F$2</f>
        <v>5964.0164999999997</v>
      </c>
      <c r="Q57" s="201">
        <f t="shared" si="51"/>
        <v>5397.3</v>
      </c>
      <c r="R57" s="202">
        <f t="shared" ref="R57:R62" si="77">SUM(O57:Q57)</f>
        <v>65334.316500000001</v>
      </c>
      <c r="S57" s="200">
        <f t="shared" si="17"/>
        <v>53973</v>
      </c>
      <c r="T57" s="201">
        <f>S57*$F$2</f>
        <v>5964.0164999999997</v>
      </c>
      <c r="U57" s="201">
        <f t="shared" si="9"/>
        <v>5397.3</v>
      </c>
      <c r="V57" s="202">
        <f t="shared" ref="V57:V62" si="78">SUM(S57:U57)</f>
        <v>65334.316500000001</v>
      </c>
    </row>
    <row r="58" spans="1:22" x14ac:dyDescent="0.25">
      <c r="A58" s="199" t="s">
        <v>65</v>
      </c>
      <c r="B58" s="177">
        <v>3</v>
      </c>
      <c r="C58" s="200">
        <v>63529</v>
      </c>
      <c r="D58" s="201">
        <f>C58*$F$2</f>
        <v>7019.9544999999998</v>
      </c>
      <c r="E58" s="201">
        <f t="shared" si="48"/>
        <v>6352.9000000000005</v>
      </c>
      <c r="F58" s="202">
        <f t="shared" si="74"/>
        <v>76901.854499999987</v>
      </c>
      <c r="G58" s="200">
        <f t="shared" si="11"/>
        <v>63529</v>
      </c>
      <c r="H58" s="201">
        <f>G58*$F$2</f>
        <v>7019.9544999999998</v>
      </c>
      <c r="I58" s="201">
        <f t="shared" si="49"/>
        <v>6352.9000000000005</v>
      </c>
      <c r="J58" s="202">
        <f t="shared" si="75"/>
        <v>76901.854499999987</v>
      </c>
      <c r="K58" s="200">
        <f t="shared" si="13"/>
        <v>63529</v>
      </c>
      <c r="L58" s="201">
        <f>K58*$F$2</f>
        <v>7019.9544999999998</v>
      </c>
      <c r="M58" s="201">
        <f t="shared" si="50"/>
        <v>6352.9000000000005</v>
      </c>
      <c r="N58" s="202">
        <f t="shared" si="76"/>
        <v>76901.854499999987</v>
      </c>
      <c r="O58" s="200">
        <f t="shared" si="15"/>
        <v>63529</v>
      </c>
      <c r="P58" s="201">
        <f>O58*$F$2</f>
        <v>7019.9544999999998</v>
      </c>
      <c r="Q58" s="201">
        <f t="shared" si="51"/>
        <v>6352.9000000000005</v>
      </c>
      <c r="R58" s="202">
        <f t="shared" si="77"/>
        <v>76901.854499999987</v>
      </c>
      <c r="S58" s="200">
        <f t="shared" si="17"/>
        <v>63529</v>
      </c>
      <c r="T58" s="201">
        <f>S58*$F$2</f>
        <v>7019.9544999999998</v>
      </c>
      <c r="U58" s="201">
        <f t="shared" si="9"/>
        <v>6352.9000000000005</v>
      </c>
      <c r="V58" s="202">
        <f t="shared" si="78"/>
        <v>76901.854499999987</v>
      </c>
    </row>
    <row r="59" spans="1:22" x14ac:dyDescent="0.25">
      <c r="A59" s="199" t="s">
        <v>66</v>
      </c>
      <c r="B59" s="177">
        <v>4</v>
      </c>
      <c r="C59" s="200">
        <v>68521</v>
      </c>
      <c r="D59" s="201">
        <f>C59*$F$2</f>
        <v>7571.5704999999998</v>
      </c>
      <c r="E59" s="201">
        <f t="shared" si="48"/>
        <v>6852.1</v>
      </c>
      <c r="F59" s="202">
        <f t="shared" si="74"/>
        <v>82944.670500000007</v>
      </c>
      <c r="G59" s="200">
        <f t="shared" si="11"/>
        <v>68521</v>
      </c>
      <c r="H59" s="201">
        <f>G59*$F$2</f>
        <v>7571.5704999999998</v>
      </c>
      <c r="I59" s="201">
        <f t="shared" si="49"/>
        <v>6852.1</v>
      </c>
      <c r="J59" s="202">
        <f t="shared" si="75"/>
        <v>82944.670500000007</v>
      </c>
      <c r="K59" s="200">
        <f t="shared" si="13"/>
        <v>68521</v>
      </c>
      <c r="L59" s="201">
        <f>K59*$F$2</f>
        <v>7571.5704999999998</v>
      </c>
      <c r="M59" s="201">
        <f t="shared" si="50"/>
        <v>6852.1</v>
      </c>
      <c r="N59" s="202">
        <f t="shared" si="76"/>
        <v>82944.670500000007</v>
      </c>
      <c r="O59" s="200">
        <f t="shared" si="15"/>
        <v>68521</v>
      </c>
      <c r="P59" s="201">
        <f>O59*$F$2</f>
        <v>7571.5704999999998</v>
      </c>
      <c r="Q59" s="201">
        <f t="shared" si="51"/>
        <v>6852.1</v>
      </c>
      <c r="R59" s="202">
        <f t="shared" si="77"/>
        <v>82944.670500000007</v>
      </c>
      <c r="S59" s="200">
        <f t="shared" si="17"/>
        <v>68521</v>
      </c>
      <c r="T59" s="201">
        <f>S59*$F$2</f>
        <v>7571.5704999999998</v>
      </c>
      <c r="U59" s="201">
        <f t="shared" si="9"/>
        <v>6852.1</v>
      </c>
      <c r="V59" s="202">
        <f t="shared" si="78"/>
        <v>82944.670500000007</v>
      </c>
    </row>
    <row r="60" spans="1:22" x14ac:dyDescent="0.25">
      <c r="A60" s="199" t="s">
        <v>67</v>
      </c>
      <c r="B60" s="177">
        <v>5</v>
      </c>
      <c r="C60" s="200">
        <v>73167</v>
      </c>
      <c r="D60" s="201">
        <f t="shared" ref="D60:D61" si="79">C60*$F$2</f>
        <v>8084.9534999999996</v>
      </c>
      <c r="E60" s="201">
        <f t="shared" si="48"/>
        <v>7316.7000000000007</v>
      </c>
      <c r="F60" s="202">
        <f t="shared" si="74"/>
        <v>88568.6535</v>
      </c>
      <c r="G60" s="200">
        <f t="shared" si="11"/>
        <v>73167</v>
      </c>
      <c r="H60" s="201">
        <f t="shared" ref="H60:H61" si="80">G60*$F$2</f>
        <v>8084.9534999999996</v>
      </c>
      <c r="I60" s="201">
        <f t="shared" si="49"/>
        <v>7316.7000000000007</v>
      </c>
      <c r="J60" s="202">
        <f t="shared" si="75"/>
        <v>88568.6535</v>
      </c>
      <c r="K60" s="200">
        <f t="shared" si="13"/>
        <v>73167</v>
      </c>
      <c r="L60" s="201">
        <f t="shared" ref="L60:L61" si="81">K60*$F$2</f>
        <v>8084.9534999999996</v>
      </c>
      <c r="M60" s="201">
        <f t="shared" si="50"/>
        <v>7316.7000000000007</v>
      </c>
      <c r="N60" s="202">
        <f t="shared" si="76"/>
        <v>88568.6535</v>
      </c>
      <c r="O60" s="200">
        <f t="shared" si="15"/>
        <v>73167</v>
      </c>
      <c r="P60" s="201">
        <f t="shared" ref="P60:P61" si="82">O60*$F$2</f>
        <v>8084.9534999999996</v>
      </c>
      <c r="Q60" s="201">
        <f t="shared" si="51"/>
        <v>7316.7000000000007</v>
      </c>
      <c r="R60" s="202">
        <f t="shared" si="77"/>
        <v>88568.6535</v>
      </c>
      <c r="S60" s="200">
        <f t="shared" si="17"/>
        <v>73167</v>
      </c>
      <c r="T60" s="201">
        <f t="shared" ref="T60:T75" si="83">S60*$F$2</f>
        <v>8084.9534999999996</v>
      </c>
      <c r="U60" s="201">
        <f t="shared" si="9"/>
        <v>7316.7000000000007</v>
      </c>
      <c r="V60" s="202">
        <f t="shared" si="78"/>
        <v>88568.6535</v>
      </c>
    </row>
    <row r="61" spans="1:22" x14ac:dyDescent="0.25">
      <c r="A61" s="199" t="s">
        <v>68</v>
      </c>
      <c r="B61" s="177">
        <v>6</v>
      </c>
      <c r="C61" s="200">
        <v>78265</v>
      </c>
      <c r="D61" s="201">
        <f t="shared" si="79"/>
        <v>8648.2824999999993</v>
      </c>
      <c r="E61" s="201">
        <f t="shared" si="48"/>
        <v>7826.5</v>
      </c>
      <c r="F61" s="202">
        <f t="shared" si="74"/>
        <v>94739.782500000001</v>
      </c>
      <c r="G61" s="200">
        <f t="shared" si="11"/>
        <v>78265</v>
      </c>
      <c r="H61" s="201">
        <f t="shared" si="80"/>
        <v>8648.2824999999993</v>
      </c>
      <c r="I61" s="201">
        <f t="shared" si="49"/>
        <v>7826.5</v>
      </c>
      <c r="J61" s="202">
        <f t="shared" si="75"/>
        <v>94739.782500000001</v>
      </c>
      <c r="K61" s="200">
        <f t="shared" si="13"/>
        <v>78265</v>
      </c>
      <c r="L61" s="201">
        <f t="shared" si="81"/>
        <v>8648.2824999999993</v>
      </c>
      <c r="M61" s="201">
        <f t="shared" si="50"/>
        <v>7826.5</v>
      </c>
      <c r="N61" s="202">
        <f t="shared" si="76"/>
        <v>94739.782500000001</v>
      </c>
      <c r="O61" s="200">
        <f t="shared" si="15"/>
        <v>78265</v>
      </c>
      <c r="P61" s="201">
        <f t="shared" si="82"/>
        <v>8648.2824999999993</v>
      </c>
      <c r="Q61" s="201">
        <f t="shared" si="51"/>
        <v>7826.5</v>
      </c>
      <c r="R61" s="202">
        <f t="shared" si="77"/>
        <v>94739.782500000001</v>
      </c>
      <c r="S61" s="200">
        <f t="shared" si="17"/>
        <v>78265</v>
      </c>
      <c r="T61" s="201">
        <f t="shared" si="83"/>
        <v>8648.2824999999993</v>
      </c>
      <c r="U61" s="201">
        <f t="shared" si="9"/>
        <v>7826.5</v>
      </c>
      <c r="V61" s="202">
        <f t="shared" si="78"/>
        <v>94739.782500000001</v>
      </c>
    </row>
    <row r="62" spans="1:22" ht="15.75" thickBot="1" x14ac:dyDescent="0.3">
      <c r="A62" s="203" t="s">
        <v>69</v>
      </c>
      <c r="B62" s="204">
        <v>7</v>
      </c>
      <c r="C62" s="205">
        <v>83344</v>
      </c>
      <c r="D62" s="206">
        <f t="shared" ref="D62:D73" si="84">C62*$F$2</f>
        <v>9209.5120000000006</v>
      </c>
      <c r="E62" s="206">
        <f t="shared" si="48"/>
        <v>8334.4</v>
      </c>
      <c r="F62" s="207">
        <f t="shared" si="74"/>
        <v>100887.912</v>
      </c>
      <c r="G62" s="205">
        <f t="shared" si="11"/>
        <v>83344</v>
      </c>
      <c r="H62" s="206">
        <f t="shared" ref="H62:H73" si="85">G62*$F$2</f>
        <v>9209.5120000000006</v>
      </c>
      <c r="I62" s="206">
        <f t="shared" si="49"/>
        <v>8334.4</v>
      </c>
      <c r="J62" s="207">
        <f t="shared" si="75"/>
        <v>100887.912</v>
      </c>
      <c r="K62" s="205">
        <f t="shared" si="13"/>
        <v>83344</v>
      </c>
      <c r="L62" s="206">
        <f t="shared" ref="L62:L73" si="86">K62*$F$2</f>
        <v>9209.5120000000006</v>
      </c>
      <c r="M62" s="206">
        <f t="shared" si="50"/>
        <v>8334.4</v>
      </c>
      <c r="N62" s="207">
        <f t="shared" si="76"/>
        <v>100887.912</v>
      </c>
      <c r="O62" s="205">
        <f t="shared" si="15"/>
        <v>83344</v>
      </c>
      <c r="P62" s="206">
        <f t="shared" ref="P62:P73" si="87">O62*$F$2</f>
        <v>9209.5120000000006</v>
      </c>
      <c r="Q62" s="206">
        <f t="shared" si="51"/>
        <v>8334.4</v>
      </c>
      <c r="R62" s="207">
        <f t="shared" si="77"/>
        <v>100887.912</v>
      </c>
      <c r="S62" s="205">
        <f t="shared" si="17"/>
        <v>83344</v>
      </c>
      <c r="T62" s="206">
        <f t="shared" si="83"/>
        <v>9209.5120000000006</v>
      </c>
      <c r="U62" s="206">
        <f t="shared" si="9"/>
        <v>8334.4</v>
      </c>
      <c r="V62" s="207">
        <f t="shared" si="78"/>
        <v>100887.912</v>
      </c>
    </row>
    <row r="63" spans="1:22" x14ac:dyDescent="0.25">
      <c r="A63" s="194" t="s">
        <v>70</v>
      </c>
      <c r="B63" s="195">
        <v>1</v>
      </c>
      <c r="C63" s="196">
        <v>34746</v>
      </c>
      <c r="D63" s="197">
        <f t="shared" si="84"/>
        <v>3839.433</v>
      </c>
      <c r="E63" s="197">
        <f t="shared" si="48"/>
        <v>3474.6000000000004</v>
      </c>
      <c r="F63" s="198">
        <f>SUM(C63:E63)</f>
        <v>42060.032999999996</v>
      </c>
      <c r="G63" s="196">
        <f t="shared" si="11"/>
        <v>34746</v>
      </c>
      <c r="H63" s="197">
        <f t="shared" si="85"/>
        <v>3839.433</v>
      </c>
      <c r="I63" s="197">
        <f t="shared" si="49"/>
        <v>3474.6000000000004</v>
      </c>
      <c r="J63" s="198">
        <f>SUM(G63:I63)</f>
        <v>42060.032999999996</v>
      </c>
      <c r="K63" s="196">
        <f t="shared" si="13"/>
        <v>34746</v>
      </c>
      <c r="L63" s="197">
        <f t="shared" si="86"/>
        <v>3839.433</v>
      </c>
      <c r="M63" s="197">
        <f t="shared" si="50"/>
        <v>3474.6000000000004</v>
      </c>
      <c r="N63" s="198">
        <f>SUM(K63:M63)</f>
        <v>42060.032999999996</v>
      </c>
      <c r="O63" s="196">
        <f t="shared" si="15"/>
        <v>34746</v>
      </c>
      <c r="P63" s="197">
        <f t="shared" si="87"/>
        <v>3839.433</v>
      </c>
      <c r="Q63" s="197">
        <f t="shared" si="51"/>
        <v>3474.6000000000004</v>
      </c>
      <c r="R63" s="198">
        <f>SUM(O63:Q63)</f>
        <v>42060.032999999996</v>
      </c>
      <c r="S63" s="196">
        <f t="shared" si="17"/>
        <v>34746</v>
      </c>
      <c r="T63" s="197">
        <f t="shared" si="83"/>
        <v>3839.433</v>
      </c>
      <c r="U63" s="197">
        <f t="shared" si="9"/>
        <v>3474.6000000000004</v>
      </c>
      <c r="V63" s="198">
        <f>SUM(S63:U63)</f>
        <v>42060.032999999996</v>
      </c>
    </row>
    <row r="64" spans="1:22" x14ac:dyDescent="0.25">
      <c r="A64" s="199" t="s">
        <v>71</v>
      </c>
      <c r="B64" s="177">
        <v>2</v>
      </c>
      <c r="C64" s="200">
        <v>36772</v>
      </c>
      <c r="D64" s="201">
        <f t="shared" si="84"/>
        <v>4063.306</v>
      </c>
      <c r="E64" s="201">
        <f t="shared" si="48"/>
        <v>3677.2000000000003</v>
      </c>
      <c r="F64" s="202">
        <f t="shared" ref="F64:F76" si="88">SUM(C64:E64)</f>
        <v>44512.505999999994</v>
      </c>
      <c r="G64" s="200">
        <f t="shared" si="11"/>
        <v>36772</v>
      </c>
      <c r="H64" s="201">
        <f t="shared" si="85"/>
        <v>4063.306</v>
      </c>
      <c r="I64" s="201">
        <f t="shared" si="49"/>
        <v>3677.2000000000003</v>
      </c>
      <c r="J64" s="202">
        <f t="shared" ref="J64:J76" si="89">SUM(G64:I64)</f>
        <v>44512.505999999994</v>
      </c>
      <c r="K64" s="200">
        <f t="shared" si="13"/>
        <v>36772</v>
      </c>
      <c r="L64" s="201">
        <f t="shared" si="86"/>
        <v>4063.306</v>
      </c>
      <c r="M64" s="201">
        <f t="shared" si="50"/>
        <v>3677.2000000000003</v>
      </c>
      <c r="N64" s="202">
        <f t="shared" ref="N64:N76" si="90">SUM(K64:M64)</f>
        <v>44512.505999999994</v>
      </c>
      <c r="O64" s="200">
        <f t="shared" si="15"/>
        <v>36772</v>
      </c>
      <c r="P64" s="201">
        <f t="shared" si="87"/>
        <v>4063.306</v>
      </c>
      <c r="Q64" s="201">
        <f t="shared" si="51"/>
        <v>3677.2000000000003</v>
      </c>
      <c r="R64" s="202">
        <f t="shared" ref="R64:R76" si="91">SUM(O64:Q64)</f>
        <v>44512.505999999994</v>
      </c>
      <c r="S64" s="200">
        <f t="shared" si="17"/>
        <v>36772</v>
      </c>
      <c r="T64" s="201">
        <f t="shared" si="83"/>
        <v>4063.306</v>
      </c>
      <c r="U64" s="201">
        <f t="shared" si="9"/>
        <v>3677.2000000000003</v>
      </c>
      <c r="V64" s="202">
        <f t="shared" ref="V64:V76" si="92">SUM(S64:U64)</f>
        <v>44512.505999999994</v>
      </c>
    </row>
    <row r="65" spans="1:22" x14ac:dyDescent="0.25">
      <c r="A65" s="199" t="s">
        <v>72</v>
      </c>
      <c r="B65" s="177">
        <v>3</v>
      </c>
      <c r="C65" s="200">
        <v>38490</v>
      </c>
      <c r="D65" s="201">
        <f t="shared" si="84"/>
        <v>4253.1450000000004</v>
      </c>
      <c r="E65" s="201">
        <f t="shared" si="48"/>
        <v>3849</v>
      </c>
      <c r="F65" s="202">
        <f t="shared" si="88"/>
        <v>46592.145000000004</v>
      </c>
      <c r="G65" s="200">
        <f t="shared" si="11"/>
        <v>38490</v>
      </c>
      <c r="H65" s="201">
        <f t="shared" si="85"/>
        <v>4253.1450000000004</v>
      </c>
      <c r="I65" s="201">
        <f t="shared" si="49"/>
        <v>3849</v>
      </c>
      <c r="J65" s="202">
        <f t="shared" si="89"/>
        <v>46592.145000000004</v>
      </c>
      <c r="K65" s="200">
        <f t="shared" si="13"/>
        <v>38490</v>
      </c>
      <c r="L65" s="201">
        <f t="shared" si="86"/>
        <v>4253.1450000000004</v>
      </c>
      <c r="M65" s="201">
        <f t="shared" si="50"/>
        <v>3849</v>
      </c>
      <c r="N65" s="202">
        <f t="shared" si="90"/>
        <v>46592.145000000004</v>
      </c>
      <c r="O65" s="200">
        <f t="shared" si="15"/>
        <v>38490</v>
      </c>
      <c r="P65" s="201">
        <f t="shared" si="87"/>
        <v>4253.1450000000004</v>
      </c>
      <c r="Q65" s="201">
        <f t="shared" si="51"/>
        <v>3849</v>
      </c>
      <c r="R65" s="202">
        <f t="shared" si="91"/>
        <v>46592.145000000004</v>
      </c>
      <c r="S65" s="200">
        <f t="shared" si="17"/>
        <v>38490</v>
      </c>
      <c r="T65" s="201">
        <f t="shared" si="83"/>
        <v>4253.1450000000004</v>
      </c>
      <c r="U65" s="201">
        <f t="shared" si="9"/>
        <v>3849</v>
      </c>
      <c r="V65" s="202">
        <f t="shared" si="92"/>
        <v>46592.145000000004</v>
      </c>
    </row>
    <row r="66" spans="1:22" x14ac:dyDescent="0.25">
      <c r="A66" s="199" t="s">
        <v>73</v>
      </c>
      <c r="B66" s="177">
        <v>4</v>
      </c>
      <c r="C66" s="200">
        <v>40741</v>
      </c>
      <c r="D66" s="201">
        <f t="shared" si="84"/>
        <v>4501.8805000000002</v>
      </c>
      <c r="E66" s="201">
        <f t="shared" si="48"/>
        <v>4074.1000000000004</v>
      </c>
      <c r="F66" s="202">
        <f t="shared" si="88"/>
        <v>49316.980499999998</v>
      </c>
      <c r="G66" s="200">
        <f t="shared" si="11"/>
        <v>40741</v>
      </c>
      <c r="H66" s="201">
        <f t="shared" si="85"/>
        <v>4501.8805000000002</v>
      </c>
      <c r="I66" s="201">
        <f t="shared" si="49"/>
        <v>4074.1000000000004</v>
      </c>
      <c r="J66" s="202">
        <f t="shared" si="89"/>
        <v>49316.980499999998</v>
      </c>
      <c r="K66" s="200">
        <f t="shared" si="13"/>
        <v>40741</v>
      </c>
      <c r="L66" s="201">
        <f t="shared" si="86"/>
        <v>4501.8805000000002</v>
      </c>
      <c r="M66" s="201">
        <f t="shared" si="50"/>
        <v>4074.1000000000004</v>
      </c>
      <c r="N66" s="202">
        <f t="shared" si="90"/>
        <v>49316.980499999998</v>
      </c>
      <c r="O66" s="200">
        <f t="shared" si="15"/>
        <v>40741</v>
      </c>
      <c r="P66" s="201">
        <f t="shared" si="87"/>
        <v>4501.8805000000002</v>
      </c>
      <c r="Q66" s="201">
        <f t="shared" si="51"/>
        <v>4074.1000000000004</v>
      </c>
      <c r="R66" s="202">
        <f t="shared" si="91"/>
        <v>49316.980499999998</v>
      </c>
      <c r="S66" s="200">
        <f t="shared" si="17"/>
        <v>40741</v>
      </c>
      <c r="T66" s="201">
        <f t="shared" si="83"/>
        <v>4501.8805000000002</v>
      </c>
      <c r="U66" s="201">
        <f t="shared" si="9"/>
        <v>4074.1000000000004</v>
      </c>
      <c r="V66" s="202">
        <f t="shared" si="92"/>
        <v>49316.980499999998</v>
      </c>
    </row>
    <row r="67" spans="1:22" x14ac:dyDescent="0.25">
      <c r="A67" s="199" t="s">
        <v>74</v>
      </c>
      <c r="B67" s="177">
        <v>5</v>
      </c>
      <c r="C67" s="200">
        <v>43045</v>
      </c>
      <c r="D67" s="201">
        <f t="shared" si="84"/>
        <v>4756.4724999999999</v>
      </c>
      <c r="E67" s="201">
        <f t="shared" si="48"/>
        <v>4304.5</v>
      </c>
      <c r="F67" s="202">
        <f t="shared" si="88"/>
        <v>52105.972500000003</v>
      </c>
      <c r="G67" s="200">
        <f t="shared" si="11"/>
        <v>43045</v>
      </c>
      <c r="H67" s="201">
        <f t="shared" si="85"/>
        <v>4756.4724999999999</v>
      </c>
      <c r="I67" s="201">
        <f t="shared" si="49"/>
        <v>4304.5</v>
      </c>
      <c r="J67" s="202">
        <f t="shared" si="89"/>
        <v>52105.972500000003</v>
      </c>
      <c r="K67" s="200">
        <f t="shared" si="13"/>
        <v>43045</v>
      </c>
      <c r="L67" s="201">
        <f t="shared" si="86"/>
        <v>4756.4724999999999</v>
      </c>
      <c r="M67" s="201">
        <f t="shared" si="50"/>
        <v>4304.5</v>
      </c>
      <c r="N67" s="202">
        <f t="shared" si="90"/>
        <v>52105.972500000003</v>
      </c>
      <c r="O67" s="200">
        <f t="shared" si="15"/>
        <v>43045</v>
      </c>
      <c r="P67" s="201">
        <f t="shared" si="87"/>
        <v>4756.4724999999999</v>
      </c>
      <c r="Q67" s="201">
        <f t="shared" si="51"/>
        <v>4304.5</v>
      </c>
      <c r="R67" s="202">
        <f t="shared" si="91"/>
        <v>52105.972500000003</v>
      </c>
      <c r="S67" s="200">
        <f t="shared" si="17"/>
        <v>43045</v>
      </c>
      <c r="T67" s="201">
        <f t="shared" si="83"/>
        <v>4756.4724999999999</v>
      </c>
      <c r="U67" s="201">
        <f t="shared" si="9"/>
        <v>4304.5</v>
      </c>
      <c r="V67" s="202">
        <f t="shared" si="92"/>
        <v>52105.972500000003</v>
      </c>
    </row>
    <row r="68" spans="1:22" x14ac:dyDescent="0.25">
      <c r="A68" s="199" t="s">
        <v>75</v>
      </c>
      <c r="B68" s="177">
        <v>6</v>
      </c>
      <c r="C68" s="200">
        <v>45001</v>
      </c>
      <c r="D68" s="201">
        <f t="shared" si="84"/>
        <v>4972.6104999999998</v>
      </c>
      <c r="E68" s="201">
        <f t="shared" si="48"/>
        <v>4500.1000000000004</v>
      </c>
      <c r="F68" s="202">
        <f t="shared" si="88"/>
        <v>54473.710500000001</v>
      </c>
      <c r="G68" s="200">
        <f t="shared" si="11"/>
        <v>45001</v>
      </c>
      <c r="H68" s="201">
        <f t="shared" si="85"/>
        <v>4972.6104999999998</v>
      </c>
      <c r="I68" s="201">
        <f t="shared" si="49"/>
        <v>4500.1000000000004</v>
      </c>
      <c r="J68" s="202">
        <f t="shared" si="89"/>
        <v>54473.710500000001</v>
      </c>
      <c r="K68" s="200">
        <f t="shared" si="13"/>
        <v>45001</v>
      </c>
      <c r="L68" s="201">
        <f t="shared" si="86"/>
        <v>4972.6104999999998</v>
      </c>
      <c r="M68" s="201">
        <f t="shared" si="50"/>
        <v>4500.1000000000004</v>
      </c>
      <c r="N68" s="202">
        <f t="shared" si="90"/>
        <v>54473.710500000001</v>
      </c>
      <c r="O68" s="200">
        <f t="shared" si="15"/>
        <v>45001</v>
      </c>
      <c r="P68" s="201">
        <f t="shared" si="87"/>
        <v>4972.6104999999998</v>
      </c>
      <c r="Q68" s="201">
        <f t="shared" si="51"/>
        <v>4500.1000000000004</v>
      </c>
      <c r="R68" s="202">
        <f t="shared" si="91"/>
        <v>54473.710500000001</v>
      </c>
      <c r="S68" s="200">
        <f t="shared" si="17"/>
        <v>45001</v>
      </c>
      <c r="T68" s="201">
        <f t="shared" si="83"/>
        <v>4972.6104999999998</v>
      </c>
      <c r="U68" s="201">
        <f t="shared" si="9"/>
        <v>4500.1000000000004</v>
      </c>
      <c r="V68" s="202">
        <f t="shared" si="92"/>
        <v>54473.710500000001</v>
      </c>
    </row>
    <row r="69" spans="1:22" x14ac:dyDescent="0.25">
      <c r="A69" s="199" t="s">
        <v>76</v>
      </c>
      <c r="B69" s="177">
        <v>7</v>
      </c>
      <c r="C69" s="200">
        <v>46933</v>
      </c>
      <c r="D69" s="201">
        <f t="shared" si="84"/>
        <v>5186.0964999999997</v>
      </c>
      <c r="E69" s="201">
        <f t="shared" si="48"/>
        <v>4693.3</v>
      </c>
      <c r="F69" s="202">
        <f t="shared" si="88"/>
        <v>56812.396500000003</v>
      </c>
      <c r="G69" s="200">
        <f t="shared" si="11"/>
        <v>46933</v>
      </c>
      <c r="H69" s="201">
        <f t="shared" si="85"/>
        <v>5186.0964999999997</v>
      </c>
      <c r="I69" s="201">
        <f t="shared" si="49"/>
        <v>4693.3</v>
      </c>
      <c r="J69" s="202">
        <f t="shared" si="89"/>
        <v>56812.396500000003</v>
      </c>
      <c r="K69" s="200">
        <f t="shared" si="13"/>
        <v>46933</v>
      </c>
      <c r="L69" s="201">
        <f t="shared" si="86"/>
        <v>5186.0964999999997</v>
      </c>
      <c r="M69" s="201">
        <f t="shared" si="50"/>
        <v>4693.3</v>
      </c>
      <c r="N69" s="202">
        <f t="shared" si="90"/>
        <v>56812.396500000003</v>
      </c>
      <c r="O69" s="200">
        <f t="shared" si="15"/>
        <v>46933</v>
      </c>
      <c r="P69" s="201">
        <f t="shared" si="87"/>
        <v>5186.0964999999997</v>
      </c>
      <c r="Q69" s="201">
        <f t="shared" si="51"/>
        <v>4693.3</v>
      </c>
      <c r="R69" s="202">
        <f t="shared" si="91"/>
        <v>56812.396500000003</v>
      </c>
      <c r="S69" s="200">
        <f t="shared" si="17"/>
        <v>46933</v>
      </c>
      <c r="T69" s="201">
        <f t="shared" si="83"/>
        <v>5186.0964999999997</v>
      </c>
      <c r="U69" s="201">
        <f t="shared" si="9"/>
        <v>4693.3</v>
      </c>
      <c r="V69" s="202">
        <f t="shared" si="92"/>
        <v>56812.396500000003</v>
      </c>
    </row>
    <row r="70" spans="1:22" x14ac:dyDescent="0.25">
      <c r="A70" s="199" t="s">
        <v>77</v>
      </c>
      <c r="B70" s="177">
        <v>8</v>
      </c>
      <c r="C70" s="200">
        <v>48877</v>
      </c>
      <c r="D70" s="201">
        <f t="shared" si="84"/>
        <v>5400.9085000000005</v>
      </c>
      <c r="E70" s="201">
        <f t="shared" si="48"/>
        <v>4887.7</v>
      </c>
      <c r="F70" s="202">
        <f t="shared" si="88"/>
        <v>59165.608499999995</v>
      </c>
      <c r="G70" s="200">
        <f t="shared" si="11"/>
        <v>48877</v>
      </c>
      <c r="H70" s="201">
        <f t="shared" si="85"/>
        <v>5400.9085000000005</v>
      </c>
      <c r="I70" s="201">
        <f t="shared" si="49"/>
        <v>4887.7</v>
      </c>
      <c r="J70" s="202">
        <f t="shared" si="89"/>
        <v>59165.608499999995</v>
      </c>
      <c r="K70" s="200">
        <f t="shared" si="13"/>
        <v>48877</v>
      </c>
      <c r="L70" s="201">
        <f t="shared" si="86"/>
        <v>5400.9085000000005</v>
      </c>
      <c r="M70" s="201">
        <f t="shared" si="50"/>
        <v>4887.7</v>
      </c>
      <c r="N70" s="202">
        <f t="shared" si="90"/>
        <v>59165.608499999995</v>
      </c>
      <c r="O70" s="200">
        <f t="shared" si="15"/>
        <v>48877</v>
      </c>
      <c r="P70" s="201">
        <f t="shared" si="87"/>
        <v>5400.9085000000005</v>
      </c>
      <c r="Q70" s="201">
        <f t="shared" si="51"/>
        <v>4887.7</v>
      </c>
      <c r="R70" s="202">
        <f t="shared" si="91"/>
        <v>59165.608499999995</v>
      </c>
      <c r="S70" s="200">
        <f t="shared" si="17"/>
        <v>48877</v>
      </c>
      <c r="T70" s="201">
        <f t="shared" si="83"/>
        <v>5400.9085000000005</v>
      </c>
      <c r="U70" s="201">
        <f t="shared" si="9"/>
        <v>4887.7</v>
      </c>
      <c r="V70" s="202">
        <f t="shared" si="92"/>
        <v>59165.608499999995</v>
      </c>
    </row>
    <row r="71" spans="1:22" x14ac:dyDescent="0.25">
      <c r="A71" s="199" t="s">
        <v>78</v>
      </c>
      <c r="B71" s="177">
        <v>9</v>
      </c>
      <c r="C71" s="200">
        <v>50818</v>
      </c>
      <c r="D71" s="201">
        <f t="shared" si="84"/>
        <v>5615.3890000000001</v>
      </c>
      <c r="E71" s="201">
        <f t="shared" si="48"/>
        <v>5081.8</v>
      </c>
      <c r="F71" s="202">
        <f t="shared" si="88"/>
        <v>61515.189000000006</v>
      </c>
      <c r="G71" s="200">
        <f t="shared" si="11"/>
        <v>50818</v>
      </c>
      <c r="H71" s="201">
        <f t="shared" si="85"/>
        <v>5615.3890000000001</v>
      </c>
      <c r="I71" s="201">
        <f t="shared" si="49"/>
        <v>5081.8</v>
      </c>
      <c r="J71" s="202">
        <f t="shared" si="89"/>
        <v>61515.189000000006</v>
      </c>
      <c r="K71" s="200">
        <f t="shared" si="13"/>
        <v>50818</v>
      </c>
      <c r="L71" s="201">
        <f t="shared" si="86"/>
        <v>5615.3890000000001</v>
      </c>
      <c r="M71" s="201">
        <f t="shared" si="50"/>
        <v>5081.8</v>
      </c>
      <c r="N71" s="202">
        <f t="shared" si="90"/>
        <v>61515.189000000006</v>
      </c>
      <c r="O71" s="200">
        <f t="shared" si="15"/>
        <v>50818</v>
      </c>
      <c r="P71" s="201">
        <f t="shared" si="87"/>
        <v>5615.3890000000001</v>
      </c>
      <c r="Q71" s="201">
        <f t="shared" si="51"/>
        <v>5081.8</v>
      </c>
      <c r="R71" s="202">
        <f t="shared" si="91"/>
        <v>61515.189000000006</v>
      </c>
      <c r="S71" s="200">
        <f t="shared" si="17"/>
        <v>50818</v>
      </c>
      <c r="T71" s="201">
        <f t="shared" si="83"/>
        <v>5615.3890000000001</v>
      </c>
      <c r="U71" s="201">
        <f t="shared" si="9"/>
        <v>5081.8</v>
      </c>
      <c r="V71" s="202">
        <f t="shared" si="92"/>
        <v>61515.189000000006</v>
      </c>
    </row>
    <row r="72" spans="1:22" x14ac:dyDescent="0.25">
      <c r="A72" s="199" t="s">
        <v>79</v>
      </c>
      <c r="B72" s="177">
        <v>10</v>
      </c>
      <c r="C72" s="200">
        <v>52829</v>
      </c>
      <c r="D72" s="201">
        <f t="shared" si="84"/>
        <v>5837.6045000000004</v>
      </c>
      <c r="E72" s="201">
        <f t="shared" si="48"/>
        <v>5282.9000000000005</v>
      </c>
      <c r="F72" s="202">
        <f t="shared" si="88"/>
        <v>63949.504500000003</v>
      </c>
      <c r="G72" s="200">
        <f t="shared" si="11"/>
        <v>52829</v>
      </c>
      <c r="H72" s="201">
        <f t="shared" si="85"/>
        <v>5837.6045000000004</v>
      </c>
      <c r="I72" s="201">
        <f t="shared" si="49"/>
        <v>5282.9000000000005</v>
      </c>
      <c r="J72" s="202">
        <f t="shared" si="89"/>
        <v>63949.504500000003</v>
      </c>
      <c r="K72" s="200">
        <f t="shared" si="13"/>
        <v>52829</v>
      </c>
      <c r="L72" s="201">
        <f t="shared" si="86"/>
        <v>5837.6045000000004</v>
      </c>
      <c r="M72" s="201">
        <f t="shared" si="50"/>
        <v>5282.9000000000005</v>
      </c>
      <c r="N72" s="202">
        <f t="shared" si="90"/>
        <v>63949.504500000003</v>
      </c>
      <c r="O72" s="200">
        <f t="shared" si="15"/>
        <v>52829</v>
      </c>
      <c r="P72" s="201">
        <f t="shared" si="87"/>
        <v>5837.6045000000004</v>
      </c>
      <c r="Q72" s="201">
        <f t="shared" si="51"/>
        <v>5282.9000000000005</v>
      </c>
      <c r="R72" s="202">
        <f t="shared" si="91"/>
        <v>63949.504500000003</v>
      </c>
      <c r="S72" s="200">
        <f t="shared" si="17"/>
        <v>52829</v>
      </c>
      <c r="T72" s="201">
        <f t="shared" si="83"/>
        <v>5837.6045000000004</v>
      </c>
      <c r="U72" s="201">
        <f t="shared" si="9"/>
        <v>5282.9000000000005</v>
      </c>
      <c r="V72" s="202">
        <f t="shared" si="92"/>
        <v>63949.504500000003</v>
      </c>
    </row>
    <row r="73" spans="1:22" x14ac:dyDescent="0.25">
      <c r="A73" s="199" t="s">
        <v>80</v>
      </c>
      <c r="B73" s="177">
        <v>11</v>
      </c>
      <c r="C73" s="200">
        <v>54851</v>
      </c>
      <c r="D73" s="201">
        <f t="shared" si="84"/>
        <v>6061.0355</v>
      </c>
      <c r="E73" s="201">
        <f t="shared" si="48"/>
        <v>5485.1</v>
      </c>
      <c r="F73" s="202">
        <f t="shared" si="88"/>
        <v>66397.135500000004</v>
      </c>
      <c r="G73" s="200">
        <f t="shared" si="11"/>
        <v>54851</v>
      </c>
      <c r="H73" s="201">
        <f t="shared" si="85"/>
        <v>6061.0355</v>
      </c>
      <c r="I73" s="201">
        <f t="shared" si="49"/>
        <v>5485.1</v>
      </c>
      <c r="J73" s="202">
        <f t="shared" si="89"/>
        <v>66397.135500000004</v>
      </c>
      <c r="K73" s="200">
        <f t="shared" si="13"/>
        <v>54851</v>
      </c>
      <c r="L73" s="201">
        <f t="shared" si="86"/>
        <v>6061.0355</v>
      </c>
      <c r="M73" s="201">
        <f t="shared" si="50"/>
        <v>5485.1</v>
      </c>
      <c r="N73" s="202">
        <f t="shared" si="90"/>
        <v>66397.135500000004</v>
      </c>
      <c r="O73" s="200">
        <f t="shared" si="15"/>
        <v>54851</v>
      </c>
      <c r="P73" s="201">
        <f t="shared" si="87"/>
        <v>6061.0355</v>
      </c>
      <c r="Q73" s="201">
        <f t="shared" si="51"/>
        <v>5485.1</v>
      </c>
      <c r="R73" s="202">
        <f t="shared" si="91"/>
        <v>66397.135500000004</v>
      </c>
      <c r="S73" s="200">
        <f t="shared" si="17"/>
        <v>54851</v>
      </c>
      <c r="T73" s="201">
        <f t="shared" si="83"/>
        <v>6061.0355</v>
      </c>
      <c r="U73" s="201">
        <f t="shared" ref="U73:U76" si="93">S73*$F$3</f>
        <v>5485.1</v>
      </c>
      <c r="V73" s="202">
        <f t="shared" si="92"/>
        <v>66397.135500000004</v>
      </c>
    </row>
    <row r="74" spans="1:22" x14ac:dyDescent="0.25">
      <c r="A74" s="199" t="s">
        <v>81</v>
      </c>
      <c r="B74" s="177">
        <v>12</v>
      </c>
      <c r="C74" s="200">
        <v>56854</v>
      </c>
      <c r="D74" s="201">
        <f t="shared" ref="D74:D75" si="94">C74*$F$2</f>
        <v>6282.3670000000002</v>
      </c>
      <c r="E74" s="201">
        <f t="shared" si="48"/>
        <v>5685.4000000000005</v>
      </c>
      <c r="F74" s="202">
        <f t="shared" si="88"/>
        <v>68821.766999999993</v>
      </c>
      <c r="G74" s="200">
        <f t="shared" ref="G74:G76" si="95">C74*$F$4</f>
        <v>56854</v>
      </c>
      <c r="H74" s="201">
        <f t="shared" ref="H74:H75" si="96">G74*$F$2</f>
        <v>6282.3670000000002</v>
      </c>
      <c r="I74" s="201">
        <f t="shared" si="49"/>
        <v>5685.4000000000005</v>
      </c>
      <c r="J74" s="202">
        <f t="shared" si="89"/>
        <v>68821.766999999993</v>
      </c>
      <c r="K74" s="200">
        <f t="shared" ref="K74:K76" si="97">G74*$F$4</f>
        <v>56854</v>
      </c>
      <c r="L74" s="201">
        <f t="shared" ref="L74:L75" si="98">K74*$F$2</f>
        <v>6282.3670000000002</v>
      </c>
      <c r="M74" s="201">
        <f t="shared" si="50"/>
        <v>5685.4000000000005</v>
      </c>
      <c r="N74" s="202">
        <f t="shared" si="90"/>
        <v>68821.766999999993</v>
      </c>
      <c r="O74" s="200">
        <f t="shared" ref="O74:O76" si="99">K74*$F$4</f>
        <v>56854</v>
      </c>
      <c r="P74" s="201">
        <f t="shared" ref="P74:P75" si="100">O74*$F$2</f>
        <v>6282.3670000000002</v>
      </c>
      <c r="Q74" s="201">
        <f t="shared" si="51"/>
        <v>5685.4000000000005</v>
      </c>
      <c r="R74" s="202">
        <f t="shared" si="91"/>
        <v>68821.766999999993</v>
      </c>
      <c r="S74" s="200">
        <f t="shared" ref="S74:S76" si="101">O74*$F$4</f>
        <v>56854</v>
      </c>
      <c r="T74" s="201">
        <f t="shared" si="83"/>
        <v>6282.3670000000002</v>
      </c>
      <c r="U74" s="201">
        <f t="shared" si="93"/>
        <v>5685.4000000000005</v>
      </c>
      <c r="V74" s="202">
        <f t="shared" si="92"/>
        <v>68821.766999999993</v>
      </c>
    </row>
    <row r="75" spans="1:22" x14ac:dyDescent="0.25">
      <c r="A75" s="199" t="s">
        <v>82</v>
      </c>
      <c r="B75" s="177">
        <v>13</v>
      </c>
      <c r="C75" s="200">
        <v>58966</v>
      </c>
      <c r="D75" s="201">
        <f t="shared" si="94"/>
        <v>6515.7430000000004</v>
      </c>
      <c r="E75" s="201">
        <f t="shared" si="48"/>
        <v>5896.6</v>
      </c>
      <c r="F75" s="202">
        <f t="shared" si="88"/>
        <v>71378.343000000008</v>
      </c>
      <c r="G75" s="200">
        <f t="shared" si="95"/>
        <v>58966</v>
      </c>
      <c r="H75" s="201">
        <f t="shared" si="96"/>
        <v>6515.7430000000004</v>
      </c>
      <c r="I75" s="201">
        <f t="shared" si="49"/>
        <v>5896.6</v>
      </c>
      <c r="J75" s="202">
        <f t="shared" si="89"/>
        <v>71378.343000000008</v>
      </c>
      <c r="K75" s="200">
        <f t="shared" si="97"/>
        <v>58966</v>
      </c>
      <c r="L75" s="201">
        <f t="shared" si="98"/>
        <v>6515.7430000000004</v>
      </c>
      <c r="M75" s="201">
        <f t="shared" si="50"/>
        <v>5896.6</v>
      </c>
      <c r="N75" s="202">
        <f t="shared" si="90"/>
        <v>71378.343000000008</v>
      </c>
      <c r="O75" s="200">
        <f t="shared" si="99"/>
        <v>58966</v>
      </c>
      <c r="P75" s="201">
        <f t="shared" si="100"/>
        <v>6515.7430000000004</v>
      </c>
      <c r="Q75" s="201">
        <f t="shared" si="51"/>
        <v>5896.6</v>
      </c>
      <c r="R75" s="202">
        <f t="shared" si="91"/>
        <v>71378.343000000008</v>
      </c>
      <c r="S75" s="200">
        <f t="shared" si="101"/>
        <v>58966</v>
      </c>
      <c r="T75" s="201">
        <f t="shared" si="83"/>
        <v>6515.7430000000004</v>
      </c>
      <c r="U75" s="201">
        <f t="shared" si="93"/>
        <v>5896.6</v>
      </c>
      <c r="V75" s="202">
        <f t="shared" si="92"/>
        <v>71378.343000000008</v>
      </c>
    </row>
    <row r="76" spans="1:22" ht="15.75" thickBot="1" x14ac:dyDescent="0.3">
      <c r="A76" s="203" t="s">
        <v>83</v>
      </c>
      <c r="B76" s="204">
        <v>14</v>
      </c>
      <c r="C76" s="205">
        <v>60984</v>
      </c>
      <c r="D76" s="206">
        <f>C76*$F$2</f>
        <v>6738.732</v>
      </c>
      <c r="E76" s="206">
        <f t="shared" si="48"/>
        <v>6098.4000000000005</v>
      </c>
      <c r="F76" s="207">
        <f t="shared" si="88"/>
        <v>73821.131999999998</v>
      </c>
      <c r="G76" s="205">
        <f t="shared" si="95"/>
        <v>60984</v>
      </c>
      <c r="H76" s="206">
        <f>G76*$F$2</f>
        <v>6738.732</v>
      </c>
      <c r="I76" s="206">
        <f t="shared" si="49"/>
        <v>6098.4000000000005</v>
      </c>
      <c r="J76" s="207">
        <f t="shared" si="89"/>
        <v>73821.131999999998</v>
      </c>
      <c r="K76" s="205">
        <f t="shared" si="97"/>
        <v>60984</v>
      </c>
      <c r="L76" s="206">
        <f>K76*$F$2</f>
        <v>6738.732</v>
      </c>
      <c r="M76" s="206">
        <f t="shared" si="50"/>
        <v>6098.4000000000005</v>
      </c>
      <c r="N76" s="207">
        <f t="shared" si="90"/>
        <v>73821.131999999998</v>
      </c>
      <c r="O76" s="205">
        <f t="shared" si="99"/>
        <v>60984</v>
      </c>
      <c r="P76" s="206">
        <f>O76*$F$2</f>
        <v>6738.732</v>
      </c>
      <c r="Q76" s="206">
        <f t="shared" si="51"/>
        <v>6098.4000000000005</v>
      </c>
      <c r="R76" s="207">
        <f t="shared" si="91"/>
        <v>73821.131999999998</v>
      </c>
      <c r="S76" s="205">
        <f t="shared" si="101"/>
        <v>60984</v>
      </c>
      <c r="T76" s="206">
        <f>S76*$F$2</f>
        <v>6738.732</v>
      </c>
      <c r="U76" s="206">
        <f t="shared" si="93"/>
        <v>6098.4000000000005</v>
      </c>
      <c r="V76" s="207">
        <f t="shared" si="92"/>
        <v>73821.131999999998</v>
      </c>
    </row>
  </sheetData>
  <mergeCells count="6">
    <mergeCell ref="E1:F1"/>
    <mergeCell ref="S6:V6"/>
    <mergeCell ref="C6:F6"/>
    <mergeCell ref="G6:J6"/>
    <mergeCell ref="K6:N6"/>
    <mergeCell ref="O6:R6"/>
  </mergeCells>
  <pageMargins left="0.7" right="0.7" top="0.75" bottom="0.75" header="0.3" footer="0.3"/>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Instructions. </vt:lpstr>
      <vt:lpstr>Step 1 - Payroll</vt:lpstr>
      <vt:lpstr>Step 1A.</vt:lpstr>
      <vt:lpstr>1B. </vt:lpstr>
      <vt:lpstr>Step 2.</vt:lpstr>
      <vt:lpstr>Step 3.</vt:lpstr>
      <vt:lpstr>Step 4.</vt:lpstr>
      <vt:lpstr>Step 5.</vt:lpstr>
      <vt:lpstr>Step 6.</vt:lpstr>
      <vt:lpstr>Step 7.</vt:lpstr>
      <vt:lpstr>Project Budget EURO</vt:lpstr>
      <vt:lpstr>Student Stipend - ILP</vt:lpstr>
      <vt:lpstr>Researcher Salary Scales. </vt:lpstr>
      <vt:lpstr>Step 1A - OLD</vt:lpstr>
      <vt:lpstr>1B. OLD</vt:lpstr>
      <vt:lpstr>Step 6 - Old</vt:lpstr>
      <vt:lpstr>Project Budget NON-EURO</vt:lpstr>
      <vt:lpstr>1B Salary scales -UCD Admin</vt:lpstr>
      <vt:lpstr>1B. Academic</vt:lpstr>
      <vt:lpstr>Student Stipend - OLD</vt:lpstr>
      <vt:lpstr>EFIN Reconciliation</vt:lpstr>
      <vt:lpstr>All job positions.</vt:lpstr>
      <vt:lpstr>Depreciation</vt:lpstr>
      <vt:lpstr>Not in Use</vt:lpstr>
      <vt:lpstr>Contract</vt:lpstr>
      <vt:lpstr>Contract_Research</vt:lpstr>
      <vt:lpstr>Desk</vt:lpstr>
      <vt:lpstr>Desk_based_research</vt:lpstr>
      <vt:lpstr>Lab</vt:lpstr>
      <vt:lpstr>Lab_based_research</vt:lpstr>
      <vt:lpstr>'1B. '!Print_Area</vt:lpstr>
      <vt:lpstr>'1B. OLD'!Print_Area</vt:lpstr>
      <vt:lpstr>'Instructions. '!Print_Area</vt:lpstr>
      <vt:lpstr>'Project Budget EURO'!Print_Area</vt:lpstr>
      <vt:lpstr>'Project Budget NON-EURO'!Print_Area</vt:lpstr>
      <vt:lpstr>'Step 1 - Payroll'!Print_Area</vt:lpstr>
      <vt:lpstr>'Step 1A - OLD'!Print_Area</vt:lpstr>
      <vt:lpstr>'Step 1A.'!Print_Area</vt:lpstr>
      <vt:lpstr>'Step 2.'!Print_Area</vt:lpstr>
      <vt:lpstr>'Step 4.'!Print_Area</vt:lpstr>
      <vt:lpstr>'Step 5.'!Print_Area</vt:lpstr>
      <vt:lpstr>'Step 6 - Old'!Print_Area</vt:lpstr>
      <vt:lpstr>'Step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2021-09-13T10:19:18Z</dcterms:created>
  <dcterms:modified xsi:type="dcterms:W3CDTF">2023-09-08T12:28:41Z</dcterms:modified>
</cp:coreProperties>
</file>